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8" windowWidth="14808" windowHeight="7716" activeTab="2"/>
  </bookViews>
  <sheets>
    <sheet name="глава" sheetId="2" r:id="rId1"/>
    <sheet name="муниципалы" sheetId="3" r:id="rId2"/>
    <sheet name="техи адм." sheetId="4" r:id="rId3"/>
    <sheet name="рабочие" sheetId="5" r:id="rId4"/>
  </sheets>
  <calcPr calcId="125725"/>
</workbook>
</file>

<file path=xl/calcChain.xml><?xml version="1.0" encoding="utf-8"?>
<calcChain xmlns="http://schemas.openxmlformats.org/spreadsheetml/2006/main">
  <c r="P29" i="5"/>
  <c r="P27"/>
  <c r="N29"/>
  <c r="L29"/>
  <c r="N28"/>
  <c r="M28"/>
  <c r="N27"/>
  <c r="M27"/>
  <c r="N26"/>
  <c r="M26"/>
  <c r="O31" i="4"/>
  <c r="M31"/>
  <c r="L31"/>
  <c r="J31"/>
  <c r="H31"/>
  <c r="M30"/>
  <c r="L30"/>
  <c r="M29"/>
  <c r="L29"/>
  <c r="M28"/>
  <c r="L28"/>
  <c r="M27"/>
  <c r="L27"/>
  <c r="T28" i="3"/>
  <c r="R28"/>
  <c r="Q28"/>
  <c r="Q27"/>
  <c r="Q26"/>
  <c r="Q25"/>
  <c r="K28"/>
  <c r="M27"/>
  <c r="M26"/>
  <c r="M25"/>
  <c r="K25"/>
  <c r="H26" i="5"/>
  <c r="L28" l="1"/>
  <c r="H28"/>
  <c r="H27"/>
  <c r="H27" i="3"/>
  <c r="H26"/>
  <c r="H25"/>
  <c r="F30" i="4"/>
  <c r="F29"/>
  <c r="F28"/>
  <c r="F27"/>
  <c r="H28" i="3"/>
  <c r="I27"/>
  <c r="I26"/>
  <c r="I25"/>
  <c r="H29" i="5" l="1"/>
  <c r="L27"/>
  <c r="F25" i="2"/>
  <c r="J29" i="5"/>
  <c r="G29"/>
  <c r="L26"/>
  <c r="F31" i="4"/>
  <c r="E31"/>
  <c r="J30"/>
  <c r="H30"/>
  <c r="J29"/>
  <c r="H29"/>
  <c r="J28"/>
  <c r="H28"/>
  <c r="J27"/>
  <c r="H27"/>
  <c r="J25" i="2" l="1"/>
  <c r="O28" i="5"/>
  <c r="P28" s="1"/>
  <c r="O27"/>
  <c r="O26"/>
  <c r="P26" s="1"/>
  <c r="N27" i="4"/>
  <c r="O29" l="1"/>
  <c r="P29" s="1"/>
  <c r="M29" i="5"/>
  <c r="O29"/>
  <c r="N29" i="4"/>
  <c r="N30"/>
  <c r="N28"/>
  <c r="N31" s="1"/>
  <c r="O28" l="1"/>
  <c r="P28" s="1"/>
  <c r="O30"/>
  <c r="P30" s="1"/>
  <c r="O27"/>
  <c r="P27" l="1"/>
  <c r="P31" s="1"/>
  <c r="I28" i="3"/>
  <c r="K26"/>
  <c r="R26" s="1"/>
  <c r="K27"/>
  <c r="R27" s="1"/>
  <c r="F26" i="2"/>
  <c r="E26"/>
  <c r="J26"/>
  <c r="R25" i="3" l="1"/>
  <c r="S27"/>
  <c r="T27" s="1"/>
  <c r="M28"/>
  <c r="K25" i="2"/>
  <c r="L25"/>
  <c r="L26" s="1"/>
  <c r="S26" i="3"/>
  <c r="S25"/>
  <c r="K26" i="2" l="1"/>
  <c r="M25"/>
  <c r="S28" i="3"/>
  <c r="M26" i="2"/>
  <c r="T26" i="3"/>
  <c r="T25"/>
</calcChain>
</file>

<file path=xl/sharedStrings.xml><?xml version="1.0" encoding="utf-8"?>
<sst xmlns="http://schemas.openxmlformats.org/spreadsheetml/2006/main" count="262" uniqueCount="105">
  <si>
    <t>Код</t>
  </si>
  <si>
    <t>Форма по ОКУД</t>
  </si>
  <si>
    <t>по ОКПО</t>
  </si>
  <si>
    <t>Номер документа</t>
  </si>
  <si>
    <t>Дата составления</t>
  </si>
  <si>
    <t>Штат в количестве</t>
  </si>
  <si>
    <t>структурное подразделение</t>
  </si>
  <si>
    <t>Количество штатных единиц</t>
  </si>
  <si>
    <t>Надбавки, руб.</t>
  </si>
  <si>
    <t>наименование</t>
  </si>
  <si>
    <t>код</t>
  </si>
  <si>
    <t>%</t>
  </si>
  <si>
    <t>сумма</t>
  </si>
  <si>
    <t>(личная подпись)</t>
  </si>
  <si>
    <t>(расшифровка подписи)</t>
  </si>
  <si>
    <t>Главный бухгалтер</t>
  </si>
  <si>
    <t>Итого</t>
  </si>
  <si>
    <t>(наименование организации)</t>
  </si>
  <si>
    <t>ШТАТНОЕ  РАСПИСАНИЕ</t>
  </si>
  <si>
    <t>для выборных должностных лиц, осуществляющих свои полномочия на постоянной основе</t>
  </si>
  <si>
    <t>единицы</t>
  </si>
  <si>
    <t>Ежемесячное денежное вознаграждение, руб.</t>
  </si>
  <si>
    <t>Ежемесячное денежное поощрение</t>
  </si>
  <si>
    <t>примечание</t>
  </si>
  <si>
    <t>коэф-т</t>
  </si>
  <si>
    <t>Функции</t>
  </si>
  <si>
    <t>Группа</t>
  </si>
  <si>
    <t xml:space="preserve">должностей муниципальной службы  </t>
  </si>
  <si>
    <t>Ежемесячная процентная надбавка за работу со сведениями, составляющими государственную тайну</t>
  </si>
  <si>
    <t>УТВЕРЖДЕНО</t>
  </si>
  <si>
    <t>Должность (специальность, профессия), разряд, класс (категория) квалификации</t>
  </si>
  <si>
    <t>Унифицированная форма № Т-3</t>
  </si>
  <si>
    <t>Утверждена постановлением Госкомстата России</t>
  </si>
  <si>
    <t>Код выполняемой функции</t>
  </si>
  <si>
    <t>от 05.01.2004 года № 1</t>
  </si>
  <si>
    <t>Руководитель кадровой службы</t>
  </si>
  <si>
    <t>Всего в месяц, руб.((гр.6+гр.8+гр.10+гр.11+гр.12)х гр.5)</t>
  </si>
  <si>
    <t>Ежемесячная надбавка к должностному окладу за классный чин</t>
  </si>
  <si>
    <t>Ежемесячная надбавка к должностному окладу за особые условия муниципальной службы</t>
  </si>
  <si>
    <t>Ежемесячеая надбавка к должностному окладу за выслугу лет</t>
  </si>
  <si>
    <t>Ежемесячная процентная надбавка к должностному окладу за работу со сведениями, составляющими государственную тайну</t>
  </si>
  <si>
    <t>Районный коэффициент к заработной плате за работу в районах Крайнего Севера и приравненных к ним местностях, 70%</t>
  </si>
  <si>
    <t>Всего в месяц, руб. ((гр.8+гр.9+гр.11+гр.13+гр.15+гр.17+гр.18+гр.19) хгр.7)</t>
  </si>
  <si>
    <t>Ежемесячная процентная надбавка за работу в районах Крайнего Севера и приравненных к ним местностях, 50%</t>
  </si>
  <si>
    <t>Должностной оклад, руб.</t>
  </si>
  <si>
    <t xml:space="preserve"> </t>
  </si>
  <si>
    <t>Денежное поощрение</t>
  </si>
  <si>
    <t>1113.7</t>
  </si>
  <si>
    <t>Глава</t>
  </si>
  <si>
    <t>-</t>
  </si>
  <si>
    <t>Районный коэффициент, 70%</t>
  </si>
  <si>
    <t>Карпова С.Я.</t>
  </si>
  <si>
    <t>Вахрушева Г.В.</t>
  </si>
  <si>
    <t>Главный специалист</t>
  </si>
  <si>
    <t>(должность)</t>
  </si>
  <si>
    <t>х</t>
  </si>
  <si>
    <t>Администрация сельского поселения Шугур</t>
  </si>
  <si>
    <t>специалист</t>
  </si>
  <si>
    <t>старшая</t>
  </si>
  <si>
    <t>2425.3</t>
  </si>
  <si>
    <t>от 05.01.2004 № 1</t>
  </si>
  <si>
    <t xml:space="preserve">должностей, не отнесённых к должностям муниципальной службы и осуществляющих техническое обеспечение деятельности </t>
  </si>
  <si>
    <t>Тарифная ставка (оклад) и пр., руб.</t>
  </si>
  <si>
    <t>Примечание</t>
  </si>
  <si>
    <t>Надбавка за особые условия работы</t>
  </si>
  <si>
    <t>Надбавка за выслугу лет</t>
  </si>
  <si>
    <t xml:space="preserve">Премирование ежемесячное  </t>
  </si>
  <si>
    <t>Надбавка за работу в районах Крайнего Севера и приравненных к ним местностях, 50%</t>
  </si>
  <si>
    <t xml:space="preserve">код выполняемой функции </t>
  </si>
  <si>
    <t>3359.5</t>
  </si>
  <si>
    <t>Инспектор</t>
  </si>
  <si>
    <t>4419.7</t>
  </si>
  <si>
    <t>Инспектор по бронированию</t>
  </si>
  <si>
    <t>4120.1</t>
  </si>
  <si>
    <t>Секретарь</t>
  </si>
  <si>
    <t>Карпова С.Я</t>
  </si>
  <si>
    <t xml:space="preserve">Главный специалист  </t>
  </si>
  <si>
    <t>Вахрушева Г.В</t>
  </si>
  <si>
    <t>рабочие органов местного самоуправления</t>
  </si>
  <si>
    <t xml:space="preserve">Профессиональная квалификационная группа </t>
  </si>
  <si>
    <t>Квалификационный уровнень</t>
  </si>
  <si>
    <t>Оплата за работу в ночное время</t>
  </si>
  <si>
    <t>код выполняемой функции</t>
  </si>
  <si>
    <t>8322.6</t>
  </si>
  <si>
    <t>Водитель автомобиля</t>
  </si>
  <si>
    <t>9112.0</t>
  </si>
  <si>
    <t>Уборщик служебных помещений</t>
  </si>
  <si>
    <t>9613.3</t>
  </si>
  <si>
    <t>Разнорабочий-дворник</t>
  </si>
  <si>
    <t>на период   с 1 января 2024 года</t>
  </si>
  <si>
    <r>
      <t xml:space="preserve">на период     </t>
    </r>
    <r>
      <rPr>
        <u/>
        <sz val="11"/>
        <rFont val="Times New Roman"/>
        <family val="1"/>
        <charset val="204"/>
      </rPr>
      <t xml:space="preserve">    с  01.01.2024 года</t>
    </r>
  </si>
  <si>
    <r>
      <t xml:space="preserve">на период </t>
    </r>
    <r>
      <rPr>
        <u/>
        <sz val="12"/>
        <rFont val="Times New Roman"/>
        <family val="1"/>
        <charset val="204"/>
      </rPr>
      <t>с  1 января 2024 года</t>
    </r>
  </si>
  <si>
    <t xml:space="preserve">Всего  в месяц  на 1 шт.ед руб. (гр.6+гр.8+гр.10+гр.12+гр.13+гр.14) </t>
  </si>
  <si>
    <t>Всего  в месяц   руб. (гр.15*гр.5)</t>
  </si>
  <si>
    <t xml:space="preserve">Всего в месяц на 1 шт.ед. руб. (гр.8+гр.12+гр.13+гр.14) </t>
  </si>
  <si>
    <t>Всего  в месяц руб. (гр.15*гр.5)</t>
  </si>
  <si>
    <t>распоряжением администрации сельского поселения Шугур от 09.01.2024  года № 1-р</t>
  </si>
  <si>
    <t>Приложение 1 к распоряжению администрации сельского поселения Шугур                                                                                     от 09.01.2024  № 1-р</t>
  </si>
  <si>
    <t>Приложение 2 к распоряжению администрации сельского поселения Шугур                                                                        от 09.01.2024  № 1-р</t>
  </si>
  <si>
    <t>распоряжением администрации сельского поселения Шугур от 09.01.2024 года № 1-р</t>
  </si>
  <si>
    <t>Приложение 3 к распоряжению администрации сельского поселения Шугур                                                                        от 09.01.2024  № 1-р</t>
  </si>
  <si>
    <t xml:space="preserve">распоряжением администрации сельского поселения Шугур от  09.01.2024 года № 1-р </t>
  </si>
  <si>
    <t>Приложение 4 к распоряжению администрации сельского поселения Шугур                                                                        от 09.01.2024 № 1-р</t>
  </si>
  <si>
    <t>распоряжением администрации сельского поселения Шугур от  09.01.2024 года № 1-р</t>
  </si>
  <si>
    <t>единица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</si>
</sst>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#,##0.0"/>
  </numFmts>
  <fonts count="26"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0" fontId="17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/>
    <xf numFmtId="0" fontId="18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2" fillId="0" borderId="1" xfId="0" applyFont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3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0" xfId="0" applyFont="1" applyAlignment="1"/>
    <xf numFmtId="0" fontId="11" fillId="0" borderId="0" xfId="0" applyFont="1" applyAlignment="1"/>
    <xf numFmtId="3" fontId="20" fillId="0" borderId="0" xfId="0" applyNumberFormat="1" applyFont="1" applyBorder="1" applyAlignment="1"/>
    <xf numFmtId="0" fontId="20" fillId="0" borderId="0" xfId="0" applyFont="1"/>
    <xf numFmtId="3" fontId="20" fillId="0" borderId="5" xfId="0" applyNumberFormat="1" applyFont="1" applyBorder="1" applyAlignment="1"/>
    <xf numFmtId="0" fontId="20" fillId="0" borderId="0" xfId="0" applyFont="1" applyBorder="1" applyAlignment="1">
      <alignment horizontal="center"/>
    </xf>
    <xf numFmtId="9" fontId="13" fillId="0" borderId="1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3" fillId="0" borderId="0" xfId="0" applyFont="1"/>
    <xf numFmtId="4" fontId="11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4" fontId="24" fillId="0" borderId="0" xfId="0" applyNumberFormat="1" applyFont="1"/>
    <xf numFmtId="0" fontId="2" fillId="0" borderId="1" xfId="0" applyFont="1" applyFill="1" applyBorder="1"/>
    <xf numFmtId="164" fontId="20" fillId="0" borderId="5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0" fillId="0" borderId="0" xfId="0" applyNumberFormat="1"/>
    <xf numFmtId="0" fontId="3" fillId="0" borderId="0" xfId="0" applyFont="1" applyAlignment="1">
      <alignment horizontal="right"/>
    </xf>
    <xf numFmtId="3" fontId="2" fillId="0" borderId="1" xfId="0" applyNumberFormat="1" applyFont="1" applyBorder="1"/>
    <xf numFmtId="3" fontId="19" fillId="0" borderId="1" xfId="0" applyNumberFormat="1" applyFont="1" applyBorder="1"/>
    <xf numFmtId="41" fontId="2" fillId="0" borderId="1" xfId="0" applyNumberFormat="1" applyFont="1" applyBorder="1"/>
    <xf numFmtId="41" fontId="19" fillId="0" borderId="1" xfId="0" applyNumberFormat="1" applyFont="1" applyBorder="1"/>
    <xf numFmtId="3" fontId="0" fillId="0" borderId="0" xfId="0" applyNumberFormat="1" applyBorder="1"/>
    <xf numFmtId="0" fontId="3" fillId="0" borderId="0" xfId="0" applyFont="1" applyAlignment="1">
      <alignment vertical="top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4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opLeftCell="A4" workbookViewId="0">
      <selection activeCell="P22" sqref="P22"/>
    </sheetView>
  </sheetViews>
  <sheetFormatPr defaultRowHeight="14.4"/>
  <cols>
    <col min="1" max="1" width="13.44140625" customWidth="1"/>
    <col min="2" max="2" width="4.88671875" customWidth="1"/>
    <col min="3" max="3" width="12" customWidth="1"/>
    <col min="4" max="4" width="13.6640625" customWidth="1"/>
    <col min="5" max="5" width="11.44140625" customWidth="1"/>
    <col min="6" max="6" width="14.33203125" customWidth="1"/>
    <col min="7" max="7" width="6.44140625" customWidth="1"/>
    <col min="8" max="8" width="12.44140625" customWidth="1"/>
    <col min="9" max="9" width="7.44140625" customWidth="1"/>
    <col min="10" max="10" width="10.109375" bestFit="1" customWidth="1"/>
    <col min="11" max="11" width="14.33203125" customWidth="1"/>
    <col min="12" max="12" width="15.33203125" customWidth="1"/>
    <col min="13" max="13" width="11.88671875" customWidth="1"/>
    <col min="14" max="14" width="11" customWidth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3"/>
      <c r="B2" s="3"/>
      <c r="C2" s="3"/>
      <c r="D2" s="3"/>
      <c r="E2" s="3"/>
      <c r="F2" s="3"/>
      <c r="G2" s="3"/>
      <c r="H2" s="116" t="s">
        <v>97</v>
      </c>
      <c r="I2" s="116"/>
      <c r="J2" s="116"/>
      <c r="K2" s="116"/>
      <c r="L2" s="116"/>
      <c r="M2" s="116"/>
      <c r="N2" s="3"/>
    </row>
    <row r="3" spans="1:14" ht="15" customHeight="1">
      <c r="A3" s="3"/>
      <c r="B3" s="3"/>
      <c r="C3" s="3"/>
      <c r="D3" s="3"/>
      <c r="E3" s="3"/>
      <c r="F3" s="3"/>
      <c r="G3" s="3"/>
      <c r="H3" s="116"/>
      <c r="I3" s="116"/>
      <c r="J3" s="116"/>
      <c r="K3" s="116"/>
      <c r="L3" s="116"/>
      <c r="M3" s="116"/>
      <c r="N3" s="3"/>
    </row>
    <row r="4" spans="1:14">
      <c r="A4" s="3"/>
      <c r="B4" s="3"/>
      <c r="C4" s="3"/>
      <c r="D4" s="3"/>
      <c r="E4" s="3"/>
      <c r="F4" s="3"/>
      <c r="G4" s="3"/>
      <c r="H4" s="116"/>
      <c r="I4" s="116"/>
      <c r="J4" s="116"/>
      <c r="K4" s="116"/>
      <c r="L4" s="116"/>
      <c r="M4" s="116"/>
      <c r="N4" s="3"/>
    </row>
    <row r="5" spans="1:14">
      <c r="A5" s="3"/>
      <c r="B5" s="3"/>
      <c r="C5" s="3"/>
      <c r="D5" s="3"/>
      <c r="E5" s="3"/>
      <c r="F5" s="3"/>
      <c r="G5" s="3"/>
      <c r="K5" s="3"/>
      <c r="L5" s="3" t="s">
        <v>31</v>
      </c>
      <c r="M5" s="3"/>
      <c r="N5" s="3"/>
    </row>
    <row r="6" spans="1:14">
      <c r="A6" s="3"/>
      <c r="B6" s="3"/>
      <c r="C6" s="3"/>
      <c r="D6" s="3"/>
      <c r="E6" s="3"/>
      <c r="F6" s="3"/>
      <c r="G6" s="3"/>
      <c r="K6" s="3"/>
      <c r="L6" s="3"/>
      <c r="M6" s="44" t="s">
        <v>32</v>
      </c>
      <c r="N6" s="3"/>
    </row>
    <row r="7" spans="1:14">
      <c r="A7" s="3"/>
      <c r="B7" s="3"/>
      <c r="C7" s="3"/>
      <c r="D7" s="10"/>
      <c r="E7" s="3"/>
      <c r="F7" s="3"/>
      <c r="G7" s="9"/>
      <c r="H7" s="9"/>
      <c r="I7" s="9"/>
      <c r="K7" s="3"/>
      <c r="L7" s="3" t="s">
        <v>34</v>
      </c>
      <c r="M7" s="3"/>
      <c r="N7" s="3"/>
    </row>
    <row r="8" spans="1:14">
      <c r="A8" s="3"/>
      <c r="B8" s="3"/>
      <c r="C8" s="3"/>
      <c r="D8" s="3"/>
      <c r="E8" s="3"/>
      <c r="F8" s="3"/>
      <c r="G8" s="9"/>
      <c r="H8" s="9"/>
      <c r="I8" s="9"/>
      <c r="J8" s="9"/>
      <c r="K8" s="3"/>
      <c r="L8" s="3"/>
      <c r="M8" s="11" t="s">
        <v>0</v>
      </c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 t="s">
        <v>1</v>
      </c>
      <c r="M9" s="11">
        <v>301017</v>
      </c>
      <c r="N9" s="3"/>
    </row>
    <row r="10" spans="1:14" ht="15.6">
      <c r="A10" s="120" t="s">
        <v>56</v>
      </c>
      <c r="B10" s="120"/>
      <c r="C10" s="120"/>
      <c r="D10" s="120"/>
      <c r="E10" s="120"/>
      <c r="F10" s="120"/>
      <c r="G10" s="12"/>
      <c r="H10" s="12"/>
      <c r="I10" s="12"/>
      <c r="J10" s="12"/>
      <c r="K10" s="3"/>
      <c r="L10" s="13" t="s">
        <v>2</v>
      </c>
      <c r="M10" s="14">
        <v>79543258</v>
      </c>
      <c r="N10" s="3"/>
    </row>
    <row r="11" spans="1:14">
      <c r="A11" s="121" t="s">
        <v>17</v>
      </c>
      <c r="B11" s="121"/>
      <c r="C11" s="121"/>
      <c r="D11" s="122"/>
      <c r="E11" s="122"/>
      <c r="F11" s="122"/>
      <c r="G11" s="15"/>
      <c r="H11" s="15"/>
      <c r="I11" s="15"/>
      <c r="J11" s="15"/>
      <c r="K11" s="16"/>
      <c r="L11" s="17"/>
      <c r="M11" s="3"/>
      <c r="N11" s="3"/>
    </row>
    <row r="12" spans="1:1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6"/>
      <c r="L12" s="17"/>
      <c r="M12" s="3"/>
      <c r="N12" s="3"/>
    </row>
    <row r="13" spans="1:14" ht="24.75" customHeight="1">
      <c r="A13" s="3"/>
      <c r="B13" s="3"/>
      <c r="C13" s="3"/>
      <c r="D13" s="3"/>
      <c r="E13" s="19" t="s">
        <v>3</v>
      </c>
      <c r="F13" s="19" t="s">
        <v>4</v>
      </c>
      <c r="G13" s="3"/>
      <c r="H13" s="3"/>
      <c r="I13" s="3"/>
      <c r="J13" s="3"/>
      <c r="K13" s="3"/>
      <c r="L13" s="3"/>
      <c r="M13" s="3"/>
      <c r="N13" s="3"/>
    </row>
    <row r="14" spans="1:14" ht="15.6">
      <c r="A14" s="123" t="s">
        <v>18</v>
      </c>
      <c r="B14" s="123"/>
      <c r="C14" s="123"/>
      <c r="D14" s="124"/>
      <c r="E14" s="11">
        <v>1</v>
      </c>
      <c r="F14" s="20">
        <v>45300</v>
      </c>
      <c r="G14" s="3"/>
      <c r="H14" s="3"/>
      <c r="I14" s="3"/>
      <c r="J14" s="3"/>
      <c r="K14" s="3"/>
      <c r="L14" s="3"/>
      <c r="M14" s="3"/>
      <c r="N14" s="3"/>
    </row>
    <row r="15" spans="1:14" ht="15.6">
      <c r="A15" s="119" t="s">
        <v>19</v>
      </c>
      <c r="B15" s="119"/>
      <c r="C15" s="119"/>
      <c r="D15" s="119"/>
      <c r="E15" s="119"/>
      <c r="F15" s="119"/>
      <c r="G15" s="119"/>
      <c r="H15" s="119"/>
      <c r="I15" s="2"/>
      <c r="J15" s="2"/>
      <c r="K15" s="2"/>
      <c r="L15" s="2"/>
      <c r="M15" s="2"/>
      <c r="N15" s="3"/>
    </row>
    <row r="16" spans="1:14" ht="15.6">
      <c r="A16" s="125" t="s">
        <v>89</v>
      </c>
      <c r="B16" s="125"/>
      <c r="C16" s="125"/>
      <c r="D16" s="125"/>
      <c r="E16" s="125"/>
      <c r="F16" s="125"/>
      <c r="G16" s="2"/>
      <c r="H16" s="2"/>
      <c r="I16" s="2"/>
      <c r="J16" s="2"/>
      <c r="K16" s="2"/>
      <c r="L16" s="2"/>
      <c r="M16" s="2"/>
      <c r="N16" s="3"/>
    </row>
    <row r="17" spans="1:14" ht="15.6">
      <c r="A17" s="40"/>
      <c r="B17" s="40"/>
      <c r="C17" s="45"/>
      <c r="D17" s="40"/>
      <c r="E17" s="40"/>
      <c r="F17" s="40"/>
      <c r="G17" s="2"/>
      <c r="H17" s="2"/>
      <c r="I17" s="2"/>
      <c r="J17" s="41" t="s">
        <v>29</v>
      </c>
      <c r="K17" s="3"/>
      <c r="L17" s="3"/>
      <c r="M17" s="3"/>
      <c r="N17" s="3"/>
    </row>
    <row r="18" spans="1:14" ht="15.6">
      <c r="A18" s="40"/>
      <c r="B18" s="40"/>
      <c r="C18" s="45"/>
      <c r="D18" s="40"/>
      <c r="E18" s="40"/>
      <c r="F18" s="40"/>
      <c r="G18" s="2"/>
      <c r="H18" s="2"/>
      <c r="I18" s="2"/>
      <c r="J18" s="1" t="s">
        <v>96</v>
      </c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17"/>
      <c r="I19" s="17"/>
      <c r="J19" s="3" t="s">
        <v>5</v>
      </c>
      <c r="K19" s="21"/>
      <c r="L19" s="22">
        <v>1</v>
      </c>
      <c r="M19" s="3" t="s">
        <v>104</v>
      </c>
      <c r="N19" s="3"/>
    </row>
    <row r="20" spans="1:14">
      <c r="A20" s="3"/>
      <c r="B20" s="3"/>
      <c r="C20" s="3"/>
      <c r="D20" s="3"/>
      <c r="E20" s="3"/>
      <c r="F20" s="3"/>
      <c r="G20" s="3"/>
      <c r="H20" s="17"/>
      <c r="I20" s="17"/>
      <c r="J20" s="3"/>
      <c r="K20" s="23"/>
      <c r="L20" s="37"/>
      <c r="M20" s="3"/>
      <c r="N20" s="3"/>
    </row>
    <row r="21" spans="1:14">
      <c r="A21" s="108" t="s">
        <v>6</v>
      </c>
      <c r="B21" s="109"/>
      <c r="C21" s="104" t="s">
        <v>33</v>
      </c>
      <c r="D21" s="104" t="s">
        <v>30</v>
      </c>
      <c r="E21" s="104" t="s">
        <v>7</v>
      </c>
      <c r="F21" s="104" t="s">
        <v>21</v>
      </c>
      <c r="G21" s="113" t="s">
        <v>8</v>
      </c>
      <c r="H21" s="114"/>
      <c r="I21" s="114"/>
      <c r="J21" s="114"/>
      <c r="K21" s="114"/>
      <c r="L21" s="115"/>
      <c r="M21" s="104" t="s">
        <v>36</v>
      </c>
      <c r="N21" s="101" t="s">
        <v>23</v>
      </c>
    </row>
    <row r="22" spans="1:14" ht="91.5" customHeight="1">
      <c r="A22" s="110"/>
      <c r="B22" s="111"/>
      <c r="C22" s="105"/>
      <c r="D22" s="105"/>
      <c r="E22" s="105"/>
      <c r="F22" s="105"/>
      <c r="G22" s="112" t="s">
        <v>28</v>
      </c>
      <c r="H22" s="112"/>
      <c r="I22" s="107" t="s">
        <v>22</v>
      </c>
      <c r="J22" s="107"/>
      <c r="K22" s="104" t="s">
        <v>50</v>
      </c>
      <c r="L22" s="104" t="s">
        <v>43</v>
      </c>
      <c r="M22" s="105"/>
      <c r="N22" s="102"/>
    </row>
    <row r="23" spans="1:14" ht="33.75" customHeight="1">
      <c r="A23" s="24" t="s">
        <v>9</v>
      </c>
      <c r="B23" s="24" t="s">
        <v>10</v>
      </c>
      <c r="C23" s="106"/>
      <c r="D23" s="106"/>
      <c r="E23" s="106"/>
      <c r="F23" s="106"/>
      <c r="G23" s="25" t="s">
        <v>11</v>
      </c>
      <c r="H23" s="25" t="s">
        <v>12</v>
      </c>
      <c r="I23" s="14" t="s">
        <v>24</v>
      </c>
      <c r="J23" s="6" t="s">
        <v>12</v>
      </c>
      <c r="K23" s="106"/>
      <c r="L23" s="106"/>
      <c r="M23" s="106"/>
      <c r="N23" s="103"/>
    </row>
    <row r="24" spans="1:14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</row>
    <row r="25" spans="1:14">
      <c r="A25" s="8"/>
      <c r="B25" s="8"/>
      <c r="C25" s="8" t="s">
        <v>47</v>
      </c>
      <c r="D25" s="8" t="s">
        <v>48</v>
      </c>
      <c r="E25" s="8">
        <v>1</v>
      </c>
      <c r="F25" s="89">
        <f>13124+(13124*5.5%)+0.18</f>
        <v>13846</v>
      </c>
      <c r="G25" s="47" t="s">
        <v>49</v>
      </c>
      <c r="H25" s="47" t="s">
        <v>49</v>
      </c>
      <c r="I25" s="8">
        <v>1.7</v>
      </c>
      <c r="J25" s="89">
        <f>F25*I25+1</f>
        <v>23539.200000000001</v>
      </c>
      <c r="K25" s="89">
        <f>(F25+J25)*70%</f>
        <v>26169.639999999996</v>
      </c>
      <c r="L25" s="89">
        <f>(F25+J25)*50%</f>
        <v>18692.599999999999</v>
      </c>
      <c r="M25" s="89">
        <f>F25+J25+K25+L25+1</f>
        <v>82248.44</v>
      </c>
      <c r="N25" s="8"/>
    </row>
    <row r="26" spans="1:14">
      <c r="A26" s="5"/>
      <c r="B26" s="5"/>
      <c r="C26" s="5"/>
      <c r="D26" s="48" t="s">
        <v>16</v>
      </c>
      <c r="E26" s="48">
        <f>E25</f>
        <v>1</v>
      </c>
      <c r="F26" s="90">
        <f>F25</f>
        <v>13846</v>
      </c>
      <c r="G26" s="50" t="s">
        <v>55</v>
      </c>
      <c r="H26" s="50" t="s">
        <v>55</v>
      </c>
      <c r="I26" s="50" t="s">
        <v>55</v>
      </c>
      <c r="J26" s="90">
        <f>J25</f>
        <v>23539.200000000001</v>
      </c>
      <c r="K26" s="90">
        <f>K25</f>
        <v>26169.639999999996</v>
      </c>
      <c r="L26" s="90">
        <f>L25</f>
        <v>18692.599999999999</v>
      </c>
      <c r="M26" s="90">
        <f>M25</f>
        <v>82248.44</v>
      </c>
      <c r="N26" s="48"/>
    </row>
    <row r="28" spans="1:14">
      <c r="A28" s="4" t="s">
        <v>35</v>
      </c>
      <c r="B28" s="4"/>
      <c r="C28" s="4"/>
      <c r="D28" s="117" t="s">
        <v>53</v>
      </c>
      <c r="E28" s="117"/>
      <c r="F28" s="117"/>
      <c r="G28" s="46"/>
      <c r="H28" s="4"/>
      <c r="I28" s="38"/>
      <c r="J28" s="38"/>
      <c r="K28" s="4"/>
      <c r="L28" s="38" t="s">
        <v>51</v>
      </c>
      <c r="M28" s="38"/>
    </row>
    <row r="29" spans="1:14">
      <c r="A29" s="4"/>
      <c r="B29" s="4"/>
      <c r="C29" s="4"/>
      <c r="D29" s="118" t="s">
        <v>54</v>
      </c>
      <c r="E29" s="118"/>
      <c r="F29" s="118"/>
      <c r="G29" s="4"/>
      <c r="H29" s="4"/>
      <c r="I29" s="4" t="s">
        <v>13</v>
      </c>
      <c r="J29" s="4"/>
      <c r="K29" s="4"/>
      <c r="L29" s="4" t="s">
        <v>14</v>
      </c>
      <c r="M29" s="4"/>
    </row>
    <row r="30" spans="1:1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>
      <c r="A31" s="4" t="s">
        <v>15</v>
      </c>
      <c r="B31" s="4"/>
      <c r="C31" s="4"/>
      <c r="D31" s="117" t="s">
        <v>53</v>
      </c>
      <c r="E31" s="117"/>
      <c r="F31" s="117"/>
      <c r="G31" s="46"/>
      <c r="H31" s="4"/>
      <c r="I31" s="38"/>
      <c r="J31" s="38"/>
      <c r="K31" s="4"/>
      <c r="L31" s="38" t="s">
        <v>52</v>
      </c>
      <c r="M31" s="38"/>
    </row>
    <row r="32" spans="1:14">
      <c r="A32" s="4"/>
      <c r="B32" s="4"/>
      <c r="C32" s="4"/>
      <c r="D32" s="118" t="s">
        <v>54</v>
      </c>
      <c r="E32" s="118"/>
      <c r="F32" s="118"/>
      <c r="G32" s="4"/>
      <c r="H32" s="4"/>
      <c r="I32" s="4" t="s">
        <v>13</v>
      </c>
      <c r="J32" s="4"/>
      <c r="K32" s="4"/>
      <c r="L32" s="4" t="s">
        <v>14</v>
      </c>
      <c r="M32" s="4"/>
    </row>
  </sheetData>
  <mergeCells count="22">
    <mergeCell ref="H2:M4"/>
    <mergeCell ref="D28:F28"/>
    <mergeCell ref="D31:F31"/>
    <mergeCell ref="D29:F29"/>
    <mergeCell ref="D32:F32"/>
    <mergeCell ref="L22:L23"/>
    <mergeCell ref="M21:M23"/>
    <mergeCell ref="A15:H15"/>
    <mergeCell ref="A10:F10"/>
    <mergeCell ref="A11:F11"/>
    <mergeCell ref="A14:D14"/>
    <mergeCell ref="A16:F16"/>
    <mergeCell ref="N21:N23"/>
    <mergeCell ref="C21:C23"/>
    <mergeCell ref="I22:J22"/>
    <mergeCell ref="K22:K23"/>
    <mergeCell ref="A21:B22"/>
    <mergeCell ref="D21:D23"/>
    <mergeCell ref="E21:E23"/>
    <mergeCell ref="F21:F23"/>
    <mergeCell ref="G22:H22"/>
    <mergeCell ref="G21:L21"/>
  </mergeCells>
  <pageMargins left="0.70866141732283472" right="0.39370078740157483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opLeftCell="C7" workbookViewId="0">
      <selection activeCell="C37" sqref="C37"/>
    </sheetView>
  </sheetViews>
  <sheetFormatPr defaultRowHeight="14.4"/>
  <cols>
    <col min="1" max="1" width="11.6640625" customWidth="1"/>
    <col min="3" max="3" width="13" customWidth="1"/>
    <col min="4" max="4" width="12.5546875" customWidth="1"/>
    <col min="5" max="5" width="14.109375" customWidth="1"/>
    <col min="8" max="8" width="13.109375" customWidth="1"/>
    <col min="9" max="9" width="11.33203125" customWidth="1"/>
    <col min="11" max="11" width="10.44140625" bestFit="1" customWidth="1"/>
    <col min="12" max="12" width="6.109375" customWidth="1"/>
    <col min="14" max="14" width="6.44140625" customWidth="1"/>
    <col min="16" max="16" width="7.5546875" customWidth="1"/>
    <col min="17" max="17" width="10.44140625" bestFit="1" customWidth="1"/>
    <col min="18" max="18" width="12.88671875" customWidth="1"/>
    <col min="19" max="19" width="12.6640625" customWidth="1"/>
    <col min="20" max="20" width="12.10937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6"/>
      <c r="U1" s="126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6" t="s">
        <v>98</v>
      </c>
      <c r="Q2" s="116"/>
      <c r="R2" s="116"/>
      <c r="S2" s="116"/>
      <c r="T2" s="116"/>
      <c r="U2" s="116"/>
      <c r="V2" s="94"/>
    </row>
    <row r="3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6"/>
      <c r="Q3" s="116"/>
      <c r="R3" s="116"/>
      <c r="S3" s="116"/>
      <c r="T3" s="116"/>
      <c r="U3" s="116"/>
      <c r="V3" s="94"/>
    </row>
    <row r="4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2"/>
      <c r="S4" s="43"/>
      <c r="T4" s="43"/>
      <c r="U4" s="43"/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"/>
      <c r="S5" s="3" t="s">
        <v>31</v>
      </c>
      <c r="T5" s="3"/>
      <c r="U5" s="43"/>
    </row>
    <row r="6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3"/>
      <c r="S6" s="3"/>
      <c r="T6" s="44" t="s">
        <v>32</v>
      </c>
      <c r="U6" s="43"/>
    </row>
    <row r="7" spans="1:22">
      <c r="A7" s="3"/>
      <c r="B7" s="3"/>
      <c r="C7" s="3"/>
      <c r="D7" s="3"/>
      <c r="E7" s="3"/>
      <c r="F7" s="3"/>
      <c r="G7" s="3"/>
      <c r="H7" s="3"/>
      <c r="I7" s="3"/>
      <c r="J7" s="9"/>
      <c r="K7" s="9"/>
      <c r="L7" s="9"/>
      <c r="M7" s="9"/>
      <c r="N7" s="9"/>
      <c r="O7" s="9"/>
      <c r="P7" s="9"/>
      <c r="R7" s="3"/>
      <c r="S7" s="3" t="s">
        <v>34</v>
      </c>
      <c r="T7" s="3"/>
      <c r="U7" s="3"/>
    </row>
    <row r="8" spans="1:22">
      <c r="A8" s="3"/>
      <c r="B8" s="3"/>
      <c r="C8" s="3"/>
      <c r="D8" s="3"/>
      <c r="E8" s="3"/>
      <c r="F8" s="3"/>
      <c r="G8" s="3"/>
      <c r="H8" s="3"/>
      <c r="I8" s="3"/>
      <c r="J8" s="9"/>
      <c r="K8" s="9"/>
      <c r="L8" s="9"/>
      <c r="M8" s="9"/>
      <c r="N8" s="9"/>
      <c r="O8" s="9"/>
      <c r="P8" s="9"/>
      <c r="Q8" s="9"/>
      <c r="R8" s="3"/>
      <c r="S8" s="3"/>
      <c r="T8" s="23"/>
      <c r="U8" s="11" t="s">
        <v>0</v>
      </c>
    </row>
    <row r="9" spans="1:2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27" t="s">
        <v>1</v>
      </c>
      <c r="T9" s="127"/>
      <c r="U9" s="11">
        <v>301017</v>
      </c>
    </row>
    <row r="10" spans="1:22" ht="16.2">
      <c r="A10" s="128" t="s">
        <v>56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7" t="s">
        <v>2</v>
      </c>
      <c r="T10" s="127"/>
      <c r="U10" s="14">
        <v>79543258</v>
      </c>
    </row>
    <row r="11" spans="1:22">
      <c r="A11" s="121" t="s">
        <v>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7"/>
      <c r="T11" s="3"/>
      <c r="U11" s="3"/>
    </row>
    <row r="12" spans="1:2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6"/>
      <c r="S12" s="17"/>
      <c r="T12" s="3"/>
      <c r="U12" s="3"/>
    </row>
    <row r="13" spans="1:22" ht="23.25" customHeight="1">
      <c r="A13" s="3"/>
      <c r="B13" s="3"/>
      <c r="C13" s="3"/>
      <c r="D13" s="3"/>
      <c r="E13" s="3"/>
      <c r="F13" s="3"/>
      <c r="G13" s="3"/>
      <c r="H13" s="27" t="s">
        <v>3</v>
      </c>
      <c r="I13" s="27" t="s">
        <v>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2" ht="17.399999999999999">
      <c r="A14" s="3"/>
      <c r="B14" s="3"/>
      <c r="C14" s="3"/>
      <c r="D14" s="138" t="s">
        <v>18</v>
      </c>
      <c r="E14" s="138"/>
      <c r="F14" s="138"/>
      <c r="G14" s="139"/>
      <c r="H14" s="11">
        <v>1</v>
      </c>
      <c r="I14" s="20">
        <v>45300</v>
      </c>
      <c r="J14" s="3"/>
      <c r="K14" s="137"/>
      <c r="L14" s="137"/>
      <c r="M14" s="3"/>
      <c r="N14" s="3"/>
      <c r="O14" s="3"/>
      <c r="P14" s="3"/>
      <c r="Q14" s="3"/>
      <c r="R14" s="3"/>
      <c r="S14" s="3"/>
      <c r="T14" s="3"/>
      <c r="U14" s="3"/>
    </row>
    <row r="15" spans="1:22" ht="15.6">
      <c r="A15" s="3"/>
      <c r="B15" s="28"/>
      <c r="C15" s="28"/>
      <c r="D15" s="125" t="s">
        <v>27</v>
      </c>
      <c r="E15" s="125"/>
      <c r="F15" s="125"/>
      <c r="G15" s="125"/>
      <c r="H15" s="1"/>
      <c r="I15" s="3"/>
      <c r="J15" s="3"/>
      <c r="K15" s="29"/>
      <c r="L15" s="29"/>
      <c r="M15" s="29"/>
      <c r="N15" s="29"/>
      <c r="O15" s="29"/>
      <c r="P15" s="29"/>
      <c r="Q15" s="29"/>
      <c r="R15" s="2"/>
      <c r="S15" s="2"/>
      <c r="T15" s="2"/>
      <c r="U15" s="2"/>
    </row>
    <row r="16" spans="1:22" ht="15.6">
      <c r="A16" s="3"/>
      <c r="B16" s="3"/>
      <c r="C16" s="3"/>
      <c r="D16" s="36" t="s">
        <v>91</v>
      </c>
      <c r="E16" s="36"/>
      <c r="F16" s="36"/>
      <c r="G16" s="36"/>
      <c r="H16" s="36"/>
      <c r="I16" s="28"/>
      <c r="J16" s="30"/>
      <c r="K16" s="30"/>
      <c r="L16" s="30"/>
      <c r="M16" s="30"/>
      <c r="N16" s="30"/>
      <c r="O16" s="30" t="s">
        <v>45</v>
      </c>
      <c r="P16" s="30"/>
      <c r="Q16" s="30"/>
      <c r="R16" s="2"/>
      <c r="S16" s="2"/>
      <c r="T16" s="2"/>
      <c r="U16" s="2"/>
    </row>
    <row r="17" spans="1:21" ht="15.6">
      <c r="A17" s="3"/>
      <c r="B17" s="3"/>
      <c r="C17" s="3"/>
      <c r="D17" s="36"/>
      <c r="E17" s="36"/>
      <c r="F17" s="36"/>
      <c r="G17" s="36"/>
      <c r="H17" s="36"/>
      <c r="I17" s="28"/>
      <c r="J17" s="30"/>
      <c r="K17" s="30"/>
      <c r="L17" s="30"/>
      <c r="M17" s="30"/>
      <c r="N17" s="30"/>
      <c r="O17" s="30"/>
      <c r="P17" s="1"/>
      <c r="Q17" s="41" t="s">
        <v>29</v>
      </c>
      <c r="R17" s="3"/>
      <c r="S17" s="3"/>
      <c r="T17" s="3"/>
      <c r="U17" s="3"/>
    </row>
    <row r="18" spans="1:21" ht="15.6">
      <c r="A18" s="3"/>
      <c r="B18" s="3"/>
      <c r="C18" s="3"/>
      <c r="D18" s="36"/>
      <c r="E18" s="36"/>
      <c r="F18" s="36"/>
      <c r="G18" s="36"/>
      <c r="H18" s="36"/>
      <c r="I18" s="28"/>
      <c r="J18" s="30"/>
      <c r="K18" s="30"/>
      <c r="L18" s="30"/>
      <c r="M18" s="30"/>
      <c r="N18" s="30"/>
      <c r="O18" s="30"/>
      <c r="P18" s="1" t="s">
        <v>99</v>
      </c>
      <c r="Q18" s="1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1"/>
      <c r="Q19" s="3" t="s">
        <v>5</v>
      </c>
      <c r="R19" s="3"/>
      <c r="S19" s="32"/>
      <c r="T19" s="52">
        <v>3</v>
      </c>
      <c r="U19" s="3" t="s">
        <v>20</v>
      </c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1"/>
      <c r="Q20" s="3"/>
      <c r="R20" s="3"/>
      <c r="S20" s="31"/>
      <c r="T20" s="31"/>
      <c r="U20" s="3"/>
    </row>
    <row r="21" spans="1:21">
      <c r="A21" s="108" t="s">
        <v>6</v>
      </c>
      <c r="B21" s="109"/>
      <c r="C21" s="104" t="s">
        <v>33</v>
      </c>
      <c r="D21" s="101" t="s">
        <v>30</v>
      </c>
      <c r="E21" s="130" t="s">
        <v>25</v>
      </c>
      <c r="F21" s="101" t="s">
        <v>26</v>
      </c>
      <c r="G21" s="101" t="s">
        <v>7</v>
      </c>
      <c r="H21" s="101" t="s">
        <v>44</v>
      </c>
      <c r="I21" s="113" t="s">
        <v>8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01" t="s">
        <v>42</v>
      </c>
      <c r="U21" s="101" t="s">
        <v>23</v>
      </c>
    </row>
    <row r="22" spans="1:21" ht="108.75" customHeight="1">
      <c r="A22" s="110"/>
      <c r="B22" s="111"/>
      <c r="C22" s="105"/>
      <c r="D22" s="102"/>
      <c r="E22" s="131"/>
      <c r="F22" s="102"/>
      <c r="G22" s="102"/>
      <c r="H22" s="102"/>
      <c r="I22" s="129" t="s">
        <v>37</v>
      </c>
      <c r="J22" s="133" t="s">
        <v>38</v>
      </c>
      <c r="K22" s="134"/>
      <c r="L22" s="129" t="s">
        <v>39</v>
      </c>
      <c r="M22" s="129"/>
      <c r="N22" s="135" t="s">
        <v>40</v>
      </c>
      <c r="O22" s="136"/>
      <c r="P22" s="129" t="s">
        <v>46</v>
      </c>
      <c r="Q22" s="129"/>
      <c r="R22" s="101" t="s">
        <v>41</v>
      </c>
      <c r="S22" s="101" t="s">
        <v>43</v>
      </c>
      <c r="T22" s="102"/>
      <c r="U22" s="102"/>
    </row>
    <row r="23" spans="1:21" ht="18.75" customHeight="1">
      <c r="A23" s="24" t="s">
        <v>9</v>
      </c>
      <c r="B23" s="24" t="s">
        <v>10</v>
      </c>
      <c r="C23" s="106"/>
      <c r="D23" s="103"/>
      <c r="E23" s="132"/>
      <c r="F23" s="103"/>
      <c r="G23" s="103"/>
      <c r="H23" s="103"/>
      <c r="I23" s="129"/>
      <c r="J23" s="24" t="s">
        <v>24</v>
      </c>
      <c r="K23" s="24" t="s">
        <v>12</v>
      </c>
      <c r="L23" s="33" t="s">
        <v>11</v>
      </c>
      <c r="M23" s="24" t="s">
        <v>12</v>
      </c>
      <c r="N23" s="33" t="s">
        <v>11</v>
      </c>
      <c r="O23" s="24" t="s">
        <v>12</v>
      </c>
      <c r="P23" s="24" t="s">
        <v>24</v>
      </c>
      <c r="Q23" s="24" t="s">
        <v>12</v>
      </c>
      <c r="R23" s="103"/>
      <c r="S23" s="103"/>
      <c r="T23" s="103"/>
      <c r="U23" s="103"/>
    </row>
    <row r="24" spans="1:21">
      <c r="A24" s="34">
        <v>1</v>
      </c>
      <c r="B24" s="34">
        <v>2</v>
      </c>
      <c r="C24" s="34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5">
        <v>15</v>
      </c>
      <c r="P24" s="35">
        <v>16</v>
      </c>
      <c r="Q24" s="35">
        <v>17</v>
      </c>
      <c r="R24" s="35">
        <v>18</v>
      </c>
      <c r="S24" s="35">
        <v>19</v>
      </c>
      <c r="T24" s="35">
        <v>20</v>
      </c>
      <c r="U24" s="35">
        <v>21</v>
      </c>
    </row>
    <row r="25" spans="1:21" ht="28.2">
      <c r="A25" s="8"/>
      <c r="B25" s="8"/>
      <c r="C25" s="8" t="s">
        <v>59</v>
      </c>
      <c r="D25" s="51" t="s">
        <v>53</v>
      </c>
      <c r="E25" s="8" t="s">
        <v>57</v>
      </c>
      <c r="F25" s="8" t="s">
        <v>58</v>
      </c>
      <c r="G25" s="8">
        <v>1</v>
      </c>
      <c r="H25" s="91">
        <f>5371+(5371*5.5%)+0.59</f>
        <v>5666.9949999999999</v>
      </c>
      <c r="I25" s="91">
        <f>1700+(1700*5.5%)+0.5</f>
        <v>1794</v>
      </c>
      <c r="J25" s="8">
        <v>0.8</v>
      </c>
      <c r="K25" s="89">
        <f>H25*0.8</f>
        <v>4533.5960000000005</v>
      </c>
      <c r="L25" s="8">
        <v>30</v>
      </c>
      <c r="M25" s="89">
        <f>H25*30%+1</f>
        <v>1701.0984999999998</v>
      </c>
      <c r="N25" s="47" t="s">
        <v>49</v>
      </c>
      <c r="O25" s="47" t="s">
        <v>49</v>
      </c>
      <c r="P25" s="8">
        <v>1.6</v>
      </c>
      <c r="Q25" s="89">
        <f>H25*1.6+1</f>
        <v>9068.1920000000009</v>
      </c>
      <c r="R25" s="89">
        <f>(H25+I25+K25+M25+Q25)*70%+0.01</f>
        <v>15934.727050000001</v>
      </c>
      <c r="S25" s="89">
        <f>(H25+I25+K25+M25+Q25)*50%</f>
        <v>11381.940750000002</v>
      </c>
      <c r="T25" s="89">
        <f>H25+I25+K25+M25+Q25+R25+S25+0.01</f>
        <v>50080.559300000008</v>
      </c>
      <c r="U25" s="8"/>
    </row>
    <row r="26" spans="1:21" ht="28.2">
      <c r="A26" s="8"/>
      <c r="B26" s="8"/>
      <c r="C26" s="8" t="s">
        <v>59</v>
      </c>
      <c r="D26" s="51" t="s">
        <v>53</v>
      </c>
      <c r="E26" s="8" t="s">
        <v>57</v>
      </c>
      <c r="F26" s="8" t="s">
        <v>58</v>
      </c>
      <c r="G26" s="8">
        <v>1</v>
      </c>
      <c r="H26" s="91">
        <f>5371+(5371*5.5%)+0.59</f>
        <v>5666.9949999999999</v>
      </c>
      <c r="I26" s="91">
        <f t="shared" ref="I26:I27" si="0">1700+(1700*5.5%)+0.5</f>
        <v>1794</v>
      </c>
      <c r="J26" s="8">
        <v>0.8</v>
      </c>
      <c r="K26" s="89">
        <f>H26*0.8</f>
        <v>4533.5960000000005</v>
      </c>
      <c r="L26" s="8">
        <v>30</v>
      </c>
      <c r="M26" s="89">
        <f>H26*30%+1</f>
        <v>1701.0984999999998</v>
      </c>
      <c r="N26" s="47" t="s">
        <v>49</v>
      </c>
      <c r="O26" s="47" t="s">
        <v>49</v>
      </c>
      <c r="P26" s="8">
        <v>1.6</v>
      </c>
      <c r="Q26" s="89">
        <f t="shared" ref="Q26:Q27" si="1">H26*1.6+1</f>
        <v>9068.1920000000009</v>
      </c>
      <c r="R26" s="89">
        <f t="shared" ref="R26:R27" si="2">(H26+I26+K26+M26+Q26)*70%+0.01</f>
        <v>15934.727050000001</v>
      </c>
      <c r="S26" s="89">
        <f>(H26+I26+K26+M26+Q26)*50%</f>
        <v>11381.940750000002</v>
      </c>
      <c r="T26" s="89">
        <f>H26+I26+K26+M26+Q26+R26+S26+0.01</f>
        <v>50080.559300000008</v>
      </c>
      <c r="U26" s="8"/>
    </row>
    <row r="27" spans="1:21" ht="28.2">
      <c r="A27" s="8"/>
      <c r="B27" s="8"/>
      <c r="C27" s="8" t="s">
        <v>59</v>
      </c>
      <c r="D27" s="51" t="s">
        <v>53</v>
      </c>
      <c r="E27" s="8" t="s">
        <v>57</v>
      </c>
      <c r="F27" s="8" t="s">
        <v>58</v>
      </c>
      <c r="G27" s="8">
        <v>1</v>
      </c>
      <c r="H27" s="91">
        <f>5371+(5371*5.5%)+0.59</f>
        <v>5666.9949999999999</v>
      </c>
      <c r="I27" s="91">
        <f t="shared" si="0"/>
        <v>1794</v>
      </c>
      <c r="J27" s="8">
        <v>0.8</v>
      </c>
      <c r="K27" s="89">
        <f>H27*0.8</f>
        <v>4533.5960000000005</v>
      </c>
      <c r="L27" s="8">
        <v>30</v>
      </c>
      <c r="M27" s="89">
        <f>H27*30%+1</f>
        <v>1701.0984999999998</v>
      </c>
      <c r="N27" s="47" t="s">
        <v>49</v>
      </c>
      <c r="O27" s="47" t="s">
        <v>49</v>
      </c>
      <c r="P27" s="8">
        <v>1.6</v>
      </c>
      <c r="Q27" s="89">
        <f t="shared" si="1"/>
        <v>9068.1920000000009</v>
      </c>
      <c r="R27" s="89">
        <f t="shared" si="2"/>
        <v>15934.727050000001</v>
      </c>
      <c r="S27" s="89">
        <f>(H27+I27+K27+M27+Q27)*50%</f>
        <v>11381.940750000002</v>
      </c>
      <c r="T27" s="89">
        <f>H27+I27+K27+M27+Q27+R27+S27+0.01</f>
        <v>50080.559300000008</v>
      </c>
      <c r="U27" s="8"/>
    </row>
    <row r="28" spans="1:21">
      <c r="A28" s="5"/>
      <c r="B28" s="5"/>
      <c r="C28" s="5"/>
      <c r="D28" s="48" t="s">
        <v>16</v>
      </c>
      <c r="E28" s="48"/>
      <c r="F28" s="48"/>
      <c r="G28" s="48">
        <v>3</v>
      </c>
      <c r="H28" s="92">
        <f>H25+H26+H27+0.01</f>
        <v>17000.994999999999</v>
      </c>
      <c r="I28" s="92">
        <f>I25+I26+I27</f>
        <v>5382</v>
      </c>
      <c r="J28" s="50" t="s">
        <v>55</v>
      </c>
      <c r="K28" s="90">
        <f>K25+K26+K27+1</f>
        <v>13601.788</v>
      </c>
      <c r="L28" s="50" t="s">
        <v>55</v>
      </c>
      <c r="M28" s="90">
        <f>M25+M26+M27</f>
        <v>5103.2954999999993</v>
      </c>
      <c r="N28" s="50" t="s">
        <v>55</v>
      </c>
      <c r="O28" s="50" t="s">
        <v>55</v>
      </c>
      <c r="P28" s="50" t="s">
        <v>55</v>
      </c>
      <c r="Q28" s="90">
        <f>Q25+Q26+Q27-1</f>
        <v>27203.576000000001</v>
      </c>
      <c r="R28" s="90">
        <f>R25+R26+R27+1</f>
        <v>47805.181150000004</v>
      </c>
      <c r="S28" s="90">
        <f>S25+S26+S27+0.01</f>
        <v>34145.832250000007</v>
      </c>
      <c r="T28" s="90">
        <f>T25+T26+T27+1</f>
        <v>150242.67790000001</v>
      </c>
      <c r="U28" s="48"/>
    </row>
    <row r="29" spans="1:2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93"/>
      <c r="N29" s="7"/>
      <c r="O29" s="7"/>
      <c r="P29" s="7"/>
      <c r="Q29" s="7"/>
      <c r="R29" s="7"/>
      <c r="S29" s="7"/>
      <c r="T29" s="7"/>
      <c r="U29" s="7"/>
    </row>
    <row r="30" spans="1:21">
      <c r="D30" s="4" t="s">
        <v>35</v>
      </c>
      <c r="E30" s="4"/>
      <c r="F30" s="4"/>
      <c r="G30" s="117" t="s">
        <v>53</v>
      </c>
      <c r="H30" s="117"/>
      <c r="I30" s="117"/>
      <c r="J30" s="4"/>
      <c r="K30" s="38"/>
      <c r="L30" s="38"/>
      <c r="M30" s="4"/>
      <c r="N30" s="38" t="s">
        <v>51</v>
      </c>
      <c r="O30" s="38"/>
      <c r="P30" s="39"/>
    </row>
    <row r="31" spans="1:21">
      <c r="D31" s="4"/>
      <c r="E31" s="4"/>
      <c r="F31" s="4"/>
      <c r="G31" s="118" t="s">
        <v>54</v>
      </c>
      <c r="H31" s="118"/>
      <c r="I31" s="118"/>
      <c r="J31" s="4"/>
      <c r="K31" s="4" t="s">
        <v>13</v>
      </c>
      <c r="L31" s="4"/>
      <c r="M31" s="4"/>
      <c r="N31" s="4" t="s">
        <v>14</v>
      </c>
      <c r="O31" s="4"/>
      <c r="P31" s="39"/>
    </row>
    <row r="32" spans="1:2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/>
    </row>
    <row r="33" spans="4:16">
      <c r="D33" s="4" t="s">
        <v>15</v>
      </c>
      <c r="E33" s="4"/>
      <c r="F33" s="4"/>
      <c r="G33" s="117" t="s">
        <v>53</v>
      </c>
      <c r="H33" s="117"/>
      <c r="I33" s="117"/>
      <c r="J33" s="4"/>
      <c r="K33" s="38"/>
      <c r="L33" s="38"/>
      <c r="M33" s="4"/>
      <c r="N33" s="38" t="s">
        <v>52</v>
      </c>
      <c r="O33" s="38"/>
      <c r="P33" s="39"/>
    </row>
    <row r="34" spans="4:16">
      <c r="D34" s="4"/>
      <c r="E34" s="4"/>
      <c r="F34" s="4"/>
      <c r="G34" s="118" t="s">
        <v>54</v>
      </c>
      <c r="H34" s="118"/>
      <c r="I34" s="118"/>
      <c r="J34" s="4"/>
      <c r="K34" s="4" t="s">
        <v>13</v>
      </c>
      <c r="L34" s="4"/>
      <c r="M34" s="4"/>
      <c r="N34" s="4" t="s">
        <v>14</v>
      </c>
      <c r="O34" s="4"/>
      <c r="P34" s="39"/>
    </row>
  </sheetData>
  <mergeCells count="30">
    <mergeCell ref="P2:U3"/>
    <mergeCell ref="G30:I30"/>
    <mergeCell ref="G33:I33"/>
    <mergeCell ref="G31:I31"/>
    <mergeCell ref="G34:I34"/>
    <mergeCell ref="K14:L14"/>
    <mergeCell ref="D15:G15"/>
    <mergeCell ref="D14:G14"/>
    <mergeCell ref="S22:S23"/>
    <mergeCell ref="L22:M22"/>
    <mergeCell ref="N22:O22"/>
    <mergeCell ref="P22:Q22"/>
    <mergeCell ref="R22:R23"/>
    <mergeCell ref="C21:C23"/>
    <mergeCell ref="T1:U1"/>
    <mergeCell ref="T21:T23"/>
    <mergeCell ref="U21:U23"/>
    <mergeCell ref="S9:T9"/>
    <mergeCell ref="A10:R10"/>
    <mergeCell ref="S10:T10"/>
    <mergeCell ref="A11:R11"/>
    <mergeCell ref="I22:I23"/>
    <mergeCell ref="D21:D23"/>
    <mergeCell ref="E21:E23"/>
    <mergeCell ref="F21:F23"/>
    <mergeCell ref="G21:G23"/>
    <mergeCell ref="H21:H23"/>
    <mergeCell ref="J22:K22"/>
    <mergeCell ref="I21:S21"/>
    <mergeCell ref="A21:B22"/>
  </mergeCells>
  <pageMargins left="0.70866141732283472" right="0.39370078740157483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topLeftCell="D1" zoomScale="94" zoomScaleNormal="94" workbookViewId="0">
      <selection activeCell="V7" sqref="V7"/>
    </sheetView>
  </sheetViews>
  <sheetFormatPr defaultRowHeight="14.4"/>
  <cols>
    <col min="1" max="1" width="17.5546875" customWidth="1"/>
    <col min="2" max="2" width="9.44140625" customWidth="1"/>
    <col min="3" max="3" width="12.6640625" customWidth="1"/>
    <col min="4" max="4" width="14" customWidth="1"/>
    <col min="5" max="5" width="11.88671875" customWidth="1"/>
    <col min="6" max="6" width="12" customWidth="1"/>
    <col min="7" max="7" width="6.44140625" customWidth="1"/>
    <col min="8" max="8" width="10.109375" bestFit="1" customWidth="1"/>
    <col min="9" max="9" width="6.5546875" customWidth="1"/>
    <col min="12" max="12" width="10.109375" bestFit="1" customWidth="1"/>
    <col min="13" max="13" width="12" customWidth="1"/>
    <col min="14" max="14" width="15.5546875" customWidth="1"/>
    <col min="15" max="15" width="11.5546875" customWidth="1"/>
    <col min="16" max="16" width="14.5546875" customWidth="1"/>
    <col min="17" max="17" width="19.5546875" customWidth="1"/>
    <col min="18" max="18" width="12.109375" bestFit="1" customWidth="1"/>
    <col min="20" max="20" width="11.109375" customWidth="1"/>
    <col min="22" max="22" width="10.5546875" bestFit="1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58"/>
      <c r="P1" s="158"/>
      <c r="Q1" s="158"/>
    </row>
    <row r="2" spans="1:1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94"/>
      <c r="M2" s="116" t="s">
        <v>100</v>
      </c>
      <c r="N2" s="116"/>
      <c r="O2" s="116"/>
      <c r="P2" s="116"/>
      <c r="Q2" s="116"/>
      <c r="R2" s="94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4"/>
      <c r="M3" s="116"/>
      <c r="N3" s="116"/>
      <c r="O3" s="116"/>
      <c r="P3" s="116"/>
      <c r="Q3" s="116"/>
      <c r="R3" s="94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6"/>
      <c r="N4" s="57"/>
      <c r="O4" s="57"/>
      <c r="P4" s="10"/>
      <c r="Q4" s="10"/>
    </row>
    <row r="5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31</v>
      </c>
      <c r="P5" s="3"/>
      <c r="Q5" s="3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8" t="s">
        <v>32</v>
      </c>
      <c r="Q6" s="58" t="s">
        <v>32</v>
      </c>
    </row>
    <row r="7" spans="1: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3"/>
      <c r="O7" s="3" t="s">
        <v>60</v>
      </c>
      <c r="P7" s="3"/>
      <c r="Q7" s="3"/>
    </row>
    <row r="8" spans="1:18">
      <c r="A8" s="3"/>
      <c r="B8" s="3"/>
      <c r="C8" s="3"/>
      <c r="D8" s="3"/>
      <c r="E8" s="3"/>
      <c r="F8" s="3"/>
      <c r="G8" s="3"/>
      <c r="H8" s="3"/>
      <c r="I8" s="9"/>
      <c r="J8" s="9"/>
      <c r="K8" s="9"/>
      <c r="L8" s="9"/>
      <c r="M8" s="3"/>
      <c r="N8" s="3"/>
      <c r="O8" s="3"/>
      <c r="P8" s="3"/>
      <c r="Q8" s="3"/>
    </row>
    <row r="9" spans="1:18">
      <c r="A9" s="3"/>
      <c r="B9" s="3"/>
      <c r="C9" s="3"/>
      <c r="D9" s="3"/>
      <c r="E9" s="3"/>
      <c r="F9" s="3"/>
      <c r="G9" s="3"/>
      <c r="H9" s="3"/>
      <c r="I9" s="9"/>
      <c r="J9" s="9"/>
      <c r="K9" s="9"/>
      <c r="L9" s="9"/>
      <c r="M9" s="3"/>
      <c r="N9" s="3"/>
      <c r="O9" s="23"/>
      <c r="P9" s="14" t="s">
        <v>0</v>
      </c>
      <c r="Q9" s="37"/>
    </row>
    <row r="10" spans="1: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9" t="s">
        <v>1</v>
      </c>
      <c r="P10" s="14">
        <v>301017</v>
      </c>
      <c r="Q10" s="37"/>
    </row>
    <row r="11" spans="1:18" ht="15.6">
      <c r="A11" s="120" t="s">
        <v>56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3"/>
      <c r="O11" s="59" t="s">
        <v>2</v>
      </c>
      <c r="P11" s="14">
        <v>79543258</v>
      </c>
      <c r="Q11" s="37"/>
    </row>
    <row r="12" spans="1:18" ht="15.6">
      <c r="A12" s="60"/>
      <c r="B12" s="60"/>
      <c r="C12" s="60"/>
      <c r="D12" s="60"/>
      <c r="E12" s="61"/>
      <c r="F12" s="61" t="s">
        <v>17</v>
      </c>
      <c r="G12" s="61"/>
      <c r="H12" s="61"/>
      <c r="I12" s="60"/>
      <c r="J12" s="60"/>
      <c r="K12" s="60"/>
      <c r="L12" s="60"/>
      <c r="M12" s="60"/>
      <c r="N12" s="3"/>
      <c r="O12" s="59"/>
      <c r="P12" s="37"/>
      <c r="Q12" s="37"/>
    </row>
    <row r="13" spans="1:18" ht="8.4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"/>
      <c r="O13" s="3"/>
      <c r="P13" s="3"/>
      <c r="Q13" s="3"/>
    </row>
    <row r="14" spans="1:18" ht="25.2" customHeight="1">
      <c r="A14" s="3"/>
      <c r="B14" s="3"/>
      <c r="C14" s="3"/>
      <c r="D14" s="3"/>
      <c r="E14" s="3"/>
      <c r="F14" s="27" t="s">
        <v>3</v>
      </c>
      <c r="G14" s="160" t="s">
        <v>4</v>
      </c>
      <c r="H14" s="161"/>
      <c r="I14" s="3"/>
      <c r="J14" s="3"/>
      <c r="K14" s="3"/>
      <c r="L14" s="3"/>
      <c r="M14" s="3"/>
      <c r="N14" s="3"/>
      <c r="O14" s="3"/>
      <c r="P14" s="3"/>
      <c r="Q14" s="3"/>
    </row>
    <row r="15" spans="1:18" ht="17.399999999999999">
      <c r="A15" s="138" t="s">
        <v>18</v>
      </c>
      <c r="B15" s="138"/>
      <c r="C15" s="138"/>
      <c r="D15" s="138"/>
      <c r="E15" s="139"/>
      <c r="F15" s="11">
        <v>1</v>
      </c>
      <c r="G15" s="157">
        <v>45300</v>
      </c>
      <c r="H15" s="157"/>
      <c r="I15" s="56"/>
      <c r="J15" s="3"/>
      <c r="K15" s="3"/>
      <c r="L15" s="3"/>
      <c r="M15" s="3"/>
      <c r="N15" s="3"/>
      <c r="O15" s="3"/>
      <c r="P15" s="3"/>
      <c r="Q15" s="3"/>
    </row>
    <row r="16" spans="1:18">
      <c r="A16" s="143" t="s">
        <v>61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"/>
      <c r="Q16" s="3"/>
    </row>
    <row r="17" spans="1:22" ht="15.6">
      <c r="A17" s="3"/>
      <c r="B17" s="3"/>
      <c r="C17" s="3"/>
      <c r="D17" s="62" t="s">
        <v>90</v>
      </c>
      <c r="E17" s="63"/>
      <c r="F17" s="63"/>
      <c r="G17" s="63"/>
      <c r="H17" s="53"/>
      <c r="I17" s="30"/>
      <c r="J17" s="30"/>
      <c r="K17" s="30"/>
      <c r="L17" s="30"/>
      <c r="M17" s="2"/>
      <c r="N17" s="2"/>
      <c r="O17" s="2"/>
      <c r="P17" s="3"/>
      <c r="Q17" s="3"/>
    </row>
    <row r="18" spans="1:22" ht="15.6">
      <c r="A18" s="3"/>
      <c r="B18" s="3"/>
      <c r="C18" s="3"/>
      <c r="D18" s="62"/>
      <c r="E18" s="63"/>
      <c r="F18" s="63"/>
      <c r="G18" s="63"/>
      <c r="H18" s="53"/>
      <c r="I18" s="30"/>
      <c r="J18" s="30"/>
      <c r="K18" s="30"/>
      <c r="L18" s="30"/>
      <c r="M18" s="1"/>
      <c r="N18" s="56" t="s">
        <v>29</v>
      </c>
      <c r="O18" s="3"/>
      <c r="P18" s="3"/>
      <c r="Q18" s="3"/>
      <c r="R18" s="3"/>
    </row>
    <row r="19" spans="1:22" ht="15.6">
      <c r="A19" s="3"/>
      <c r="B19" s="3"/>
      <c r="C19" s="3"/>
      <c r="D19" s="62"/>
      <c r="E19" s="63"/>
      <c r="F19" s="63"/>
      <c r="G19" s="63"/>
      <c r="H19" s="53"/>
      <c r="I19" s="30"/>
      <c r="J19" s="30"/>
      <c r="K19" s="30"/>
      <c r="L19" s="30"/>
      <c r="M19" s="144" t="s">
        <v>101</v>
      </c>
      <c r="N19" s="144"/>
      <c r="O19" s="144"/>
      <c r="P19" s="144"/>
      <c r="Q19" s="144"/>
      <c r="R19" s="3"/>
    </row>
    <row r="20" spans="1:22" ht="15.6">
      <c r="A20" s="3"/>
      <c r="B20" s="3"/>
      <c r="C20" s="3"/>
      <c r="D20" s="62"/>
      <c r="E20" s="63"/>
      <c r="F20" s="63"/>
      <c r="G20" s="63"/>
      <c r="H20" s="53"/>
      <c r="I20" s="30"/>
      <c r="J20" s="30"/>
      <c r="K20" s="30"/>
      <c r="L20" s="30"/>
      <c r="M20" s="144"/>
      <c r="N20" s="144"/>
      <c r="O20" s="144"/>
      <c r="P20" s="144"/>
      <c r="Q20" s="144"/>
      <c r="R20" s="3"/>
    </row>
    <row r="21" spans="1:22">
      <c r="A21" s="3"/>
      <c r="B21" s="3"/>
      <c r="C21" s="3"/>
      <c r="D21" s="3"/>
      <c r="E21" s="3"/>
      <c r="F21" s="3"/>
      <c r="G21" s="3"/>
      <c r="H21" s="3"/>
      <c r="I21" s="2"/>
      <c r="J21" s="3"/>
      <c r="K21" s="64"/>
      <c r="M21" s="65" t="s">
        <v>5</v>
      </c>
      <c r="N21" s="66"/>
      <c r="O21" s="66">
        <v>3</v>
      </c>
      <c r="P21" s="65" t="s">
        <v>20</v>
      </c>
      <c r="Q21" s="65"/>
    </row>
    <row r="22" spans="1:22">
      <c r="A22" s="3"/>
      <c r="B22" s="3"/>
      <c r="C22" s="3"/>
      <c r="D22" s="3"/>
      <c r="E22" s="3"/>
      <c r="F22" s="3"/>
      <c r="G22" s="3"/>
      <c r="H22" s="3"/>
      <c r="I22" s="2"/>
      <c r="J22" s="2"/>
      <c r="K22" s="65"/>
      <c r="L22" s="65"/>
      <c r="M22" s="65"/>
      <c r="N22" s="67"/>
      <c r="O22" s="67"/>
      <c r="P22" s="65"/>
      <c r="Q22" s="65"/>
    </row>
    <row r="23" spans="1:22" ht="15" customHeight="1">
      <c r="A23" s="145" t="s">
        <v>6</v>
      </c>
      <c r="B23" s="146"/>
      <c r="C23" s="147"/>
      <c r="D23" s="104" t="s">
        <v>30</v>
      </c>
      <c r="E23" s="104" t="s">
        <v>7</v>
      </c>
      <c r="F23" s="104" t="s">
        <v>62</v>
      </c>
      <c r="G23" s="113" t="s">
        <v>8</v>
      </c>
      <c r="H23" s="114"/>
      <c r="I23" s="114"/>
      <c r="J23" s="114"/>
      <c r="K23" s="114"/>
      <c r="L23" s="114"/>
      <c r="M23" s="114"/>
      <c r="N23" s="115"/>
      <c r="O23" s="104" t="s">
        <v>92</v>
      </c>
      <c r="P23" s="154" t="s">
        <v>93</v>
      </c>
      <c r="Q23" s="151" t="s">
        <v>63</v>
      </c>
    </row>
    <row r="24" spans="1:22" ht="43.5" customHeight="1">
      <c r="A24" s="148"/>
      <c r="B24" s="149"/>
      <c r="C24" s="150"/>
      <c r="D24" s="105"/>
      <c r="E24" s="105"/>
      <c r="F24" s="105"/>
      <c r="G24" s="140" t="s">
        <v>64</v>
      </c>
      <c r="H24" s="141"/>
      <c r="I24" s="140" t="s">
        <v>65</v>
      </c>
      <c r="J24" s="141"/>
      <c r="K24" s="140" t="s">
        <v>66</v>
      </c>
      <c r="L24" s="142"/>
      <c r="M24" s="107" t="s">
        <v>50</v>
      </c>
      <c r="N24" s="104" t="s">
        <v>67</v>
      </c>
      <c r="O24" s="105"/>
      <c r="P24" s="155"/>
      <c r="Q24" s="152"/>
    </row>
    <row r="25" spans="1:22" ht="40.950000000000003" customHeight="1">
      <c r="A25" s="55" t="s">
        <v>9</v>
      </c>
      <c r="B25" s="55" t="s">
        <v>10</v>
      </c>
      <c r="C25" s="55" t="s">
        <v>68</v>
      </c>
      <c r="D25" s="106"/>
      <c r="E25" s="106"/>
      <c r="F25" s="106"/>
      <c r="G25" s="54" t="s">
        <v>11</v>
      </c>
      <c r="H25" s="54" t="s">
        <v>12</v>
      </c>
      <c r="I25" s="54" t="s">
        <v>11</v>
      </c>
      <c r="J25" s="54" t="s">
        <v>12</v>
      </c>
      <c r="K25" s="68" t="s">
        <v>11</v>
      </c>
      <c r="L25" s="68" t="s">
        <v>12</v>
      </c>
      <c r="M25" s="107"/>
      <c r="N25" s="106"/>
      <c r="O25" s="106"/>
      <c r="P25" s="156"/>
      <c r="Q25" s="153"/>
    </row>
    <row r="26" spans="1:22" ht="15.6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1">
        <v>12</v>
      </c>
      <c r="M26" s="11">
        <v>13</v>
      </c>
      <c r="N26" s="11">
        <v>14</v>
      </c>
      <c r="O26" s="11">
        <v>15</v>
      </c>
      <c r="P26" s="69">
        <v>16</v>
      </c>
      <c r="Q26" s="69">
        <v>17</v>
      </c>
      <c r="R26" s="70"/>
      <c r="S26" s="70"/>
      <c r="T26" s="71"/>
      <c r="V26" s="72"/>
    </row>
    <row r="27" spans="1:22" ht="15" customHeight="1">
      <c r="A27" s="73"/>
      <c r="B27" s="74"/>
      <c r="C27" s="74" t="s">
        <v>69</v>
      </c>
      <c r="D27" s="75" t="s">
        <v>70</v>
      </c>
      <c r="E27" s="73">
        <v>1</v>
      </c>
      <c r="F27" s="77">
        <f>4072+(4072*5.5%)+0.04</f>
        <v>4296</v>
      </c>
      <c r="G27" s="77">
        <v>80</v>
      </c>
      <c r="H27" s="77">
        <f>F27*G27%</f>
        <v>3436.8</v>
      </c>
      <c r="I27" s="77">
        <v>30</v>
      </c>
      <c r="J27" s="77">
        <f>F27*I27%</f>
        <v>1288.8</v>
      </c>
      <c r="K27" s="77">
        <v>90</v>
      </c>
      <c r="L27" s="77">
        <f>(F27+H27+J27)*K27%+1</f>
        <v>8120.4400000000005</v>
      </c>
      <c r="M27" s="77">
        <f>(F27+H27+J27+L27)*70%+1</f>
        <v>12000.428</v>
      </c>
      <c r="N27" s="77">
        <f>(F27+H27+J27+L27)*50%</f>
        <v>8571.02</v>
      </c>
      <c r="O27" s="95">
        <f>(F27+H27+J27+L27+M27+N27)*E27</f>
        <v>37713.487999999998</v>
      </c>
      <c r="P27" s="96">
        <f>O27*E27</f>
        <v>37713.487999999998</v>
      </c>
      <c r="Q27" s="78"/>
      <c r="R27" s="70"/>
      <c r="S27" s="70"/>
      <c r="T27" s="79"/>
      <c r="V27" s="72"/>
    </row>
    <row r="28" spans="1:22" ht="15" customHeight="1">
      <c r="A28" s="73"/>
      <c r="B28" s="74"/>
      <c r="C28" s="74" t="s">
        <v>69</v>
      </c>
      <c r="D28" s="75" t="s">
        <v>70</v>
      </c>
      <c r="E28" s="73">
        <v>0.5</v>
      </c>
      <c r="F28" s="77">
        <f>4072+(4072*5.5%)+0.04</f>
        <v>4296</v>
      </c>
      <c r="G28" s="77">
        <v>80</v>
      </c>
      <c r="H28" s="77">
        <f>F28*G28%</f>
        <v>3436.8</v>
      </c>
      <c r="I28" s="77">
        <v>30</v>
      </c>
      <c r="J28" s="77">
        <f>F28*I28%</f>
        <v>1288.8</v>
      </c>
      <c r="K28" s="77">
        <v>90</v>
      </c>
      <c r="L28" s="77">
        <f>(F28+H28+J28)*K28%+1</f>
        <v>8120.4400000000005</v>
      </c>
      <c r="M28" s="77">
        <f>(F28+H28+J28+L28)*70%+1</f>
        <v>12000.428</v>
      </c>
      <c r="N28" s="77">
        <f>(F28+H28+J28+L28)*50%</f>
        <v>8571.02</v>
      </c>
      <c r="O28" s="95">
        <f>(F28+H28+J28+L28+M28+N28)</f>
        <v>37713.487999999998</v>
      </c>
      <c r="P28" s="97">
        <f t="shared" ref="P28:P30" si="0">O28*E28</f>
        <v>18856.743999999999</v>
      </c>
      <c r="Q28" s="78"/>
      <c r="R28" s="70"/>
      <c r="S28" s="70"/>
      <c r="T28" s="79"/>
      <c r="V28" s="72"/>
    </row>
    <row r="29" spans="1:22" ht="24.75" customHeight="1">
      <c r="A29" s="73"/>
      <c r="B29" s="80"/>
      <c r="C29" s="80" t="s">
        <v>71</v>
      </c>
      <c r="D29" s="75" t="s">
        <v>72</v>
      </c>
      <c r="E29" s="73">
        <v>0.5</v>
      </c>
      <c r="F29" s="77">
        <f>4072+(4072*5.5%)+0.04</f>
        <v>4296</v>
      </c>
      <c r="G29" s="77">
        <v>80</v>
      </c>
      <c r="H29" s="77">
        <f>F29*G29%</f>
        <v>3436.8</v>
      </c>
      <c r="I29" s="77">
        <v>30</v>
      </c>
      <c r="J29" s="77">
        <f>F29*I29%</f>
        <v>1288.8</v>
      </c>
      <c r="K29" s="77">
        <v>90</v>
      </c>
      <c r="L29" s="77">
        <f>(F29+H29+J29)*K29%+1</f>
        <v>8120.4400000000005</v>
      </c>
      <c r="M29" s="77">
        <f>(F29+H29+J29+L29)*70%+1</f>
        <v>12000.428</v>
      </c>
      <c r="N29" s="77">
        <f>(F29+H29+J29+L29)*50%</f>
        <v>8571.02</v>
      </c>
      <c r="O29" s="95">
        <f>(F29+H29+J29+L29+M29+N29)</f>
        <v>37713.487999999998</v>
      </c>
      <c r="P29" s="97">
        <f t="shared" si="0"/>
        <v>18856.743999999999</v>
      </c>
      <c r="Q29" s="78"/>
      <c r="R29" s="79"/>
      <c r="S29" s="70"/>
      <c r="T29" s="79"/>
      <c r="V29" s="72"/>
    </row>
    <row r="30" spans="1:22" ht="15" customHeight="1">
      <c r="A30" s="73"/>
      <c r="B30" s="80"/>
      <c r="C30" s="80" t="s">
        <v>73</v>
      </c>
      <c r="D30" s="75" t="s">
        <v>74</v>
      </c>
      <c r="E30" s="73">
        <v>1</v>
      </c>
      <c r="F30" s="77">
        <f>4072+(4072*5.5%)+0.04</f>
        <v>4296</v>
      </c>
      <c r="G30" s="81">
        <v>80</v>
      </c>
      <c r="H30" s="77">
        <f>F30*G30%</f>
        <v>3436.8</v>
      </c>
      <c r="I30" s="77">
        <v>30</v>
      </c>
      <c r="J30" s="77">
        <f>F30*I30%</f>
        <v>1288.8</v>
      </c>
      <c r="K30" s="77">
        <v>90</v>
      </c>
      <c r="L30" s="77">
        <f>(F30+H30+J30)*K30%+1</f>
        <v>8120.4400000000005</v>
      </c>
      <c r="M30" s="77">
        <f>(F30+H30+J30+L30)*70%+1</f>
        <v>12000.428</v>
      </c>
      <c r="N30" s="77">
        <f>(F30+H30+J30+L30)*50%</f>
        <v>8571.02</v>
      </c>
      <c r="O30" s="95">
        <f>(F30+H30+J30+L30+M30+N30)*E30</f>
        <v>37713.487999999998</v>
      </c>
      <c r="P30" s="97">
        <f t="shared" si="0"/>
        <v>37713.487999999998</v>
      </c>
      <c r="Q30" s="78"/>
      <c r="R30" s="70"/>
      <c r="S30" s="70"/>
      <c r="T30" s="70"/>
      <c r="V30" s="82"/>
    </row>
    <row r="31" spans="1:22" ht="15.6">
      <c r="A31" s="5"/>
      <c r="B31" s="5"/>
      <c r="C31" s="5"/>
      <c r="D31" s="48" t="s">
        <v>16</v>
      </c>
      <c r="E31" s="50">
        <f>E27+E28+E29+E30</f>
        <v>3</v>
      </c>
      <c r="F31" s="90">
        <f>F27+F28+F29+F30</f>
        <v>17184</v>
      </c>
      <c r="G31" s="50" t="s">
        <v>55</v>
      </c>
      <c r="H31" s="90">
        <f>H27+H28+H29+H30+1</f>
        <v>13748.2</v>
      </c>
      <c r="I31" s="50" t="s">
        <v>55</v>
      </c>
      <c r="J31" s="90">
        <f>J27+J28+J29+J30+1</f>
        <v>5156.2</v>
      </c>
      <c r="K31" s="50" t="s">
        <v>55</v>
      </c>
      <c r="L31" s="90">
        <f>L27+L28+L29+L30-2</f>
        <v>32479.760000000002</v>
      </c>
      <c r="M31" s="90">
        <f>M27+M28+M29+M30-2</f>
        <v>47999.712</v>
      </c>
      <c r="N31" s="90">
        <f>N27+N28+N29+N30</f>
        <v>34284.080000000002</v>
      </c>
      <c r="O31" s="90">
        <f>O27+O28+O29+O30-2</f>
        <v>150851.95199999999</v>
      </c>
      <c r="P31" s="98">
        <f>P27+P28+P29+P30</f>
        <v>113140.46399999999</v>
      </c>
      <c r="Q31" s="83"/>
      <c r="R31" s="70"/>
      <c r="S31" s="70"/>
      <c r="T31" s="70"/>
      <c r="V31" s="72"/>
    </row>
    <row r="32" spans="1:22">
      <c r="R32" s="72"/>
    </row>
    <row r="33" spans="1:15">
      <c r="A33" s="4" t="s">
        <v>45</v>
      </c>
      <c r="B33" s="4"/>
      <c r="C33" s="4"/>
      <c r="D33" s="4"/>
      <c r="E33" s="4"/>
      <c r="F33" s="38" t="s">
        <v>53</v>
      </c>
      <c r="G33" s="38"/>
      <c r="H33" s="38"/>
      <c r="I33" s="38"/>
      <c r="J33" s="4"/>
      <c r="K33" s="38"/>
      <c r="L33" s="38"/>
      <c r="M33" s="4"/>
      <c r="N33" s="38" t="s">
        <v>75</v>
      </c>
      <c r="O33" s="38"/>
    </row>
    <row r="34" spans="1:15">
      <c r="A34" s="4"/>
      <c r="B34" s="4"/>
      <c r="C34" s="4"/>
      <c r="D34" s="4"/>
      <c r="E34" s="4"/>
      <c r="F34" s="4"/>
      <c r="G34" s="4"/>
      <c r="H34" s="4" t="s">
        <v>54</v>
      </c>
      <c r="I34" s="4"/>
      <c r="J34" s="4"/>
      <c r="K34" s="4" t="s">
        <v>13</v>
      </c>
      <c r="L34" s="4"/>
      <c r="M34" s="4"/>
      <c r="N34" s="4" t="s">
        <v>14</v>
      </c>
      <c r="O34" s="4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>
      <c r="A36" s="4" t="s">
        <v>45</v>
      </c>
      <c r="B36" s="4"/>
      <c r="C36" s="4"/>
      <c r="D36" s="4"/>
      <c r="E36" s="4"/>
      <c r="F36" s="38" t="s">
        <v>76</v>
      </c>
      <c r="G36" s="38"/>
      <c r="H36" s="38"/>
      <c r="I36" s="38"/>
      <c r="J36" s="4"/>
      <c r="K36" s="38"/>
      <c r="L36" s="38"/>
      <c r="M36" s="4"/>
      <c r="N36" s="38" t="s">
        <v>77</v>
      </c>
      <c r="O36" s="38"/>
    </row>
    <row r="37" spans="1:15">
      <c r="A37" s="4"/>
      <c r="B37" s="4"/>
      <c r="C37" s="4"/>
      <c r="D37" s="4"/>
      <c r="E37" s="4"/>
      <c r="F37" s="4"/>
      <c r="G37" s="4"/>
      <c r="H37" s="4" t="s">
        <v>54</v>
      </c>
      <c r="I37" s="4"/>
      <c r="J37" s="4"/>
      <c r="K37" s="4" t="s">
        <v>13</v>
      </c>
      <c r="L37" s="4"/>
      <c r="M37" s="4"/>
      <c r="N37" s="4" t="s">
        <v>14</v>
      </c>
      <c r="O37" s="4"/>
    </row>
  </sheetData>
  <mergeCells count="22">
    <mergeCell ref="A15:E15"/>
    <mergeCell ref="G15:H15"/>
    <mergeCell ref="O1:Q1"/>
    <mergeCell ref="A11:M11"/>
    <mergeCell ref="A13:M13"/>
    <mergeCell ref="G14:H14"/>
    <mergeCell ref="M2:Q3"/>
    <mergeCell ref="I24:J24"/>
    <mergeCell ref="K24:L24"/>
    <mergeCell ref="M24:M25"/>
    <mergeCell ref="N24:N25"/>
    <mergeCell ref="A16:O16"/>
    <mergeCell ref="M19:Q20"/>
    <mergeCell ref="A23:C24"/>
    <mergeCell ref="D23:D25"/>
    <mergeCell ref="E23:E25"/>
    <mergeCell ref="F23:F25"/>
    <mergeCell ref="G23:N23"/>
    <mergeCell ref="O23:O25"/>
    <mergeCell ref="Q23:Q25"/>
    <mergeCell ref="G24:H24"/>
    <mergeCell ref="P23:P25"/>
  </mergeCells>
  <pageMargins left="0.11811023622047245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94" zoomScaleNormal="94" workbookViewId="0">
      <selection activeCell="Y13" sqref="Y13"/>
    </sheetView>
  </sheetViews>
  <sheetFormatPr defaultRowHeight="14.4"/>
  <cols>
    <col min="1" max="1" width="17.5546875" customWidth="1"/>
    <col min="2" max="2" width="6.6640625" customWidth="1"/>
    <col min="3" max="3" width="12.6640625" customWidth="1"/>
    <col min="4" max="4" width="14" customWidth="1"/>
    <col min="5" max="5" width="9.5546875" customWidth="1"/>
    <col min="6" max="6" width="10.5546875" customWidth="1"/>
    <col min="7" max="7" width="11.88671875" customWidth="1"/>
    <col min="8" max="8" width="12" customWidth="1"/>
    <col min="9" max="9" width="6.5546875" customWidth="1"/>
    <col min="12" max="12" width="13.44140625" customWidth="1"/>
    <col min="13" max="13" width="12" customWidth="1"/>
    <col min="14" max="14" width="15.5546875" customWidth="1"/>
    <col min="15" max="15" width="11.5546875" customWidth="1"/>
    <col min="16" max="16" width="14.5546875" customWidth="1"/>
    <col min="17" max="17" width="19.5546875" customWidth="1"/>
    <col min="18" max="18" width="10.33203125" customWidth="1"/>
    <col min="19" max="19" width="9.5546875" bestFit="1" customWidth="1"/>
    <col min="21" max="21" width="10.5546875" bestFit="1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7"/>
      <c r="P1" s="167"/>
      <c r="Q1" s="167"/>
    </row>
    <row r="2" spans="1:18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94"/>
      <c r="M2" s="116" t="s">
        <v>102</v>
      </c>
      <c r="N2" s="116"/>
      <c r="O2" s="116"/>
      <c r="P2" s="116"/>
      <c r="Q2" s="116"/>
      <c r="R2" s="94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4"/>
      <c r="M3" s="116"/>
      <c r="N3" s="116"/>
      <c r="O3" s="116"/>
      <c r="P3" s="116"/>
      <c r="Q3" s="116"/>
      <c r="R3" s="94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6"/>
      <c r="N4" s="57"/>
      <c r="O4" s="57"/>
      <c r="P4" s="3"/>
      <c r="Q4" s="3"/>
    </row>
    <row r="5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31</v>
      </c>
      <c r="P5" s="3"/>
      <c r="Q5" s="3"/>
    </row>
    <row r="6" spans="1: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8" t="s">
        <v>32</v>
      </c>
      <c r="Q6" s="58" t="s">
        <v>32</v>
      </c>
    </row>
    <row r="7" spans="1: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3"/>
      <c r="O7" s="3" t="s">
        <v>60</v>
      </c>
      <c r="P7" s="3"/>
      <c r="Q7" s="3"/>
    </row>
    <row r="8" spans="1:18">
      <c r="A8" s="3"/>
      <c r="B8" s="3"/>
      <c r="C8" s="3"/>
      <c r="D8" s="3"/>
      <c r="E8" s="3"/>
      <c r="F8" s="3"/>
      <c r="G8" s="3"/>
      <c r="H8" s="3"/>
      <c r="I8" s="9"/>
      <c r="J8" s="9"/>
      <c r="K8" s="9"/>
      <c r="L8" s="9"/>
      <c r="M8" s="3"/>
      <c r="N8" s="3"/>
      <c r="O8" s="3"/>
      <c r="P8" s="3"/>
      <c r="Q8" s="3"/>
    </row>
    <row r="9" spans="1:18">
      <c r="A9" s="3"/>
      <c r="B9" s="3"/>
      <c r="C9" s="3"/>
      <c r="D9" s="3"/>
      <c r="E9" s="3"/>
      <c r="F9" s="3"/>
      <c r="G9" s="3"/>
      <c r="H9" s="3"/>
      <c r="I9" s="9"/>
      <c r="J9" s="9"/>
      <c r="K9" s="9"/>
      <c r="L9" s="9"/>
      <c r="M9" s="3"/>
      <c r="N9" s="3"/>
      <c r="O9" s="23"/>
      <c r="P9" s="14" t="s">
        <v>0</v>
      </c>
      <c r="Q9" s="37"/>
    </row>
    <row r="10" spans="1: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9" t="s">
        <v>1</v>
      </c>
      <c r="P10" s="14">
        <v>301017</v>
      </c>
      <c r="Q10" s="37"/>
    </row>
    <row r="11" spans="1:18" ht="15.6">
      <c r="A11" s="120" t="s">
        <v>56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3"/>
      <c r="O11" s="59" t="s">
        <v>2</v>
      </c>
      <c r="P11" s="14">
        <v>79543258</v>
      </c>
      <c r="Q11" s="37"/>
    </row>
    <row r="12" spans="1:18" ht="15.6">
      <c r="A12" s="60"/>
      <c r="B12" s="60"/>
      <c r="C12" s="60"/>
      <c r="D12" s="60"/>
      <c r="E12" s="61"/>
      <c r="F12" s="61"/>
      <c r="G12" s="61"/>
      <c r="H12" s="61" t="s">
        <v>17</v>
      </c>
      <c r="I12" s="60"/>
      <c r="J12" s="60"/>
      <c r="K12" s="60"/>
      <c r="L12" s="60"/>
      <c r="M12" s="60"/>
      <c r="N12" s="3"/>
      <c r="O12" s="59"/>
      <c r="P12" s="37"/>
      <c r="Q12" s="37"/>
    </row>
    <row r="13" spans="1:18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7"/>
      <c r="O13" s="3"/>
      <c r="P13" s="3"/>
      <c r="Q13" s="3"/>
    </row>
    <row r="14" spans="1:18" ht="23.25" customHeight="1">
      <c r="A14" s="3"/>
      <c r="B14" s="3"/>
      <c r="C14" s="3"/>
      <c r="D14" s="3"/>
      <c r="E14" s="3"/>
      <c r="F14" s="3"/>
      <c r="G14" s="3"/>
      <c r="H14" s="27" t="s">
        <v>3</v>
      </c>
      <c r="I14" s="168" t="s">
        <v>4</v>
      </c>
      <c r="J14" s="168"/>
      <c r="K14" s="3"/>
      <c r="L14" s="3"/>
      <c r="M14" s="3"/>
      <c r="N14" s="3"/>
      <c r="O14" s="3"/>
      <c r="P14" s="3"/>
      <c r="Q14" s="3"/>
    </row>
    <row r="15" spans="1:18" ht="17.399999999999999">
      <c r="A15" s="138" t="s">
        <v>18</v>
      </c>
      <c r="B15" s="138"/>
      <c r="C15" s="138"/>
      <c r="D15" s="138"/>
      <c r="E15" s="138"/>
      <c r="F15" s="138"/>
      <c r="G15" s="139"/>
      <c r="H15" s="11">
        <v>1</v>
      </c>
      <c r="I15" s="157">
        <v>45300</v>
      </c>
      <c r="J15" s="166"/>
      <c r="K15" s="3"/>
      <c r="L15" s="3"/>
      <c r="M15" s="3"/>
      <c r="N15" s="3"/>
      <c r="O15" s="3"/>
      <c r="P15" s="3"/>
      <c r="Q15" s="3"/>
    </row>
    <row r="16" spans="1:18">
      <c r="A16" s="165" t="s">
        <v>78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3"/>
      <c r="Q16" s="3"/>
    </row>
    <row r="17" spans="1:21" ht="15.6">
      <c r="A17" s="3"/>
      <c r="B17" s="3"/>
      <c r="C17" s="3"/>
      <c r="D17" s="62" t="s">
        <v>90</v>
      </c>
      <c r="E17" s="63"/>
      <c r="F17" s="63"/>
      <c r="G17" s="63"/>
      <c r="H17" s="63"/>
      <c r="I17" s="30"/>
      <c r="J17" s="30"/>
      <c r="K17" s="30"/>
      <c r="L17" s="30"/>
      <c r="M17" s="2"/>
      <c r="N17" s="2"/>
      <c r="O17" s="2"/>
      <c r="P17" s="3"/>
      <c r="Q17" s="3"/>
    </row>
    <row r="18" spans="1:21" ht="15.6">
      <c r="A18" s="3"/>
      <c r="B18" s="3"/>
      <c r="C18" s="3"/>
      <c r="D18" s="62"/>
      <c r="E18" s="63"/>
      <c r="F18" s="63"/>
      <c r="G18" s="63"/>
      <c r="H18" s="63"/>
      <c r="I18" s="30"/>
      <c r="J18" s="30"/>
      <c r="K18" s="30"/>
      <c r="L18" s="30"/>
      <c r="M18" s="1"/>
      <c r="N18" s="56" t="s">
        <v>29</v>
      </c>
      <c r="O18" s="3"/>
      <c r="P18" s="3"/>
      <c r="Q18" s="3"/>
      <c r="R18" s="3"/>
    </row>
    <row r="19" spans="1:21" ht="15.6">
      <c r="A19" s="3"/>
      <c r="B19" s="3"/>
      <c r="C19" s="3"/>
      <c r="D19" s="62"/>
      <c r="E19" s="63"/>
      <c r="F19" s="63"/>
      <c r="G19" s="63"/>
      <c r="H19" s="63"/>
      <c r="I19" s="30"/>
      <c r="J19" s="30"/>
      <c r="K19" s="30"/>
      <c r="L19" s="30"/>
      <c r="M19" s="1" t="s">
        <v>103</v>
      </c>
      <c r="N19" s="1"/>
      <c r="O19" s="3"/>
      <c r="P19" s="3"/>
      <c r="Q19" s="3"/>
      <c r="R19" s="3"/>
    </row>
    <row r="20" spans="1:21">
      <c r="A20" s="3"/>
      <c r="B20" s="3"/>
      <c r="C20" s="3"/>
      <c r="D20" s="3"/>
      <c r="E20" s="3"/>
      <c r="F20" s="3"/>
      <c r="G20" s="3"/>
      <c r="H20" s="3"/>
      <c r="I20" s="2"/>
      <c r="J20" s="3"/>
      <c r="K20" s="64"/>
      <c r="M20" s="65" t="s">
        <v>5</v>
      </c>
      <c r="N20" s="66"/>
      <c r="O20" s="84">
        <v>2.5</v>
      </c>
      <c r="P20" s="65" t="s">
        <v>20</v>
      </c>
      <c r="Q20" s="65"/>
    </row>
    <row r="21" spans="1:21">
      <c r="A21" s="3"/>
      <c r="B21" s="3"/>
      <c r="C21" s="3"/>
      <c r="D21" s="3"/>
      <c r="E21" s="3"/>
      <c r="F21" s="3"/>
      <c r="G21" s="3"/>
      <c r="H21" s="3"/>
      <c r="I21" s="2"/>
      <c r="J21" s="2"/>
      <c r="K21" s="65"/>
      <c r="L21" s="65"/>
      <c r="M21" s="65"/>
      <c r="N21" s="67"/>
      <c r="O21" s="67"/>
      <c r="P21" s="65"/>
      <c r="Q21" s="65"/>
    </row>
    <row r="22" spans="1:21">
      <c r="A22" s="145" t="s">
        <v>6</v>
      </c>
      <c r="B22" s="146"/>
      <c r="C22" s="147"/>
      <c r="D22" s="104" t="s">
        <v>30</v>
      </c>
      <c r="E22" s="104" t="s">
        <v>79</v>
      </c>
      <c r="F22" s="104" t="s">
        <v>80</v>
      </c>
      <c r="G22" s="104" t="s">
        <v>7</v>
      </c>
      <c r="H22" s="104" t="s">
        <v>62</v>
      </c>
      <c r="I22" s="114"/>
      <c r="J22" s="114"/>
      <c r="K22" s="114"/>
      <c r="L22" s="114"/>
      <c r="M22" s="114"/>
      <c r="N22" s="115"/>
      <c r="O22" s="104" t="s">
        <v>94</v>
      </c>
      <c r="P22" s="162" t="s">
        <v>95</v>
      </c>
      <c r="Q22" s="151" t="s">
        <v>63</v>
      </c>
    </row>
    <row r="23" spans="1:21" ht="33" customHeight="1">
      <c r="A23" s="148"/>
      <c r="B23" s="149"/>
      <c r="C23" s="150"/>
      <c r="D23" s="105"/>
      <c r="E23" s="105"/>
      <c r="F23" s="105"/>
      <c r="G23" s="105"/>
      <c r="H23" s="105"/>
      <c r="I23" s="140" t="s">
        <v>81</v>
      </c>
      <c r="J23" s="141"/>
      <c r="K23" s="140" t="s">
        <v>66</v>
      </c>
      <c r="L23" s="142"/>
      <c r="M23" s="107" t="s">
        <v>50</v>
      </c>
      <c r="N23" s="104" t="s">
        <v>67</v>
      </c>
      <c r="O23" s="105"/>
      <c r="P23" s="163"/>
      <c r="Q23" s="152"/>
    </row>
    <row r="24" spans="1:21" ht="69" customHeight="1">
      <c r="A24" s="55" t="s">
        <v>9</v>
      </c>
      <c r="B24" s="55" t="s">
        <v>10</v>
      </c>
      <c r="C24" s="55" t="s">
        <v>82</v>
      </c>
      <c r="D24" s="106"/>
      <c r="E24" s="106"/>
      <c r="F24" s="106"/>
      <c r="G24" s="106"/>
      <c r="H24" s="106"/>
      <c r="I24" s="54" t="s">
        <v>11</v>
      </c>
      <c r="J24" s="54" t="s">
        <v>12</v>
      </c>
      <c r="K24" s="68" t="s">
        <v>11</v>
      </c>
      <c r="L24" s="68" t="s">
        <v>12</v>
      </c>
      <c r="M24" s="107"/>
      <c r="N24" s="106"/>
      <c r="O24" s="106"/>
      <c r="P24" s="164"/>
      <c r="Q24" s="153"/>
    </row>
    <row r="25" spans="1:21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  <c r="K25" s="11">
        <v>11</v>
      </c>
      <c r="L25" s="11">
        <v>12</v>
      </c>
      <c r="M25" s="11">
        <v>13</v>
      </c>
      <c r="N25" s="11">
        <v>14</v>
      </c>
      <c r="O25" s="11">
        <v>15</v>
      </c>
      <c r="P25" s="69">
        <v>16</v>
      </c>
      <c r="Q25" s="69">
        <v>17</v>
      </c>
      <c r="S25" s="85"/>
    </row>
    <row r="26" spans="1:21" ht="31.2" customHeight="1">
      <c r="A26" s="73"/>
      <c r="B26" s="86"/>
      <c r="C26" s="86" t="s">
        <v>83</v>
      </c>
      <c r="D26" s="75" t="s">
        <v>84</v>
      </c>
      <c r="E26" s="73">
        <v>2</v>
      </c>
      <c r="F26" s="73">
        <v>1</v>
      </c>
      <c r="G26" s="73">
        <v>1</v>
      </c>
      <c r="H26" s="77">
        <f>6100+(6100*5.5%)+0.5</f>
        <v>6436</v>
      </c>
      <c r="I26" s="77"/>
      <c r="J26" s="76"/>
      <c r="K26" s="77">
        <v>130</v>
      </c>
      <c r="L26" s="77">
        <f>(H26)*K26%</f>
        <v>8366.8000000000011</v>
      </c>
      <c r="M26" s="77">
        <f>(H26+L26)*70%+1</f>
        <v>10362.960000000001</v>
      </c>
      <c r="N26" s="77">
        <f>(H26+L26)*50%+1</f>
        <v>7402.4000000000005</v>
      </c>
      <c r="O26" s="95">
        <f>(H26+L26+M26+N26)</f>
        <v>32568.160000000003</v>
      </c>
      <c r="P26" s="99">
        <f>O26*G26</f>
        <v>32568.160000000003</v>
      </c>
      <c r="Q26" s="78"/>
      <c r="S26" s="72"/>
      <c r="U26" s="72"/>
    </row>
    <row r="27" spans="1:21" ht="41.4" customHeight="1">
      <c r="A27" s="73"/>
      <c r="B27" s="86"/>
      <c r="C27" s="86" t="s">
        <v>85</v>
      </c>
      <c r="D27" s="75" t="s">
        <v>86</v>
      </c>
      <c r="E27" s="73">
        <v>1</v>
      </c>
      <c r="F27" s="73">
        <v>1</v>
      </c>
      <c r="G27" s="73">
        <v>0.5</v>
      </c>
      <c r="H27" s="77">
        <f>6049+(6049*5.5%)+0.3</f>
        <v>6381.9949999999999</v>
      </c>
      <c r="I27" s="77"/>
      <c r="J27" s="76"/>
      <c r="K27" s="77">
        <v>130</v>
      </c>
      <c r="L27" s="77">
        <f>H27*K27%+0.01</f>
        <v>8296.6035000000011</v>
      </c>
      <c r="M27" s="77">
        <f>(H27+L27)*70%+1</f>
        <v>10276.01895</v>
      </c>
      <c r="N27" s="77">
        <f>(H27+L27)*50%+1</f>
        <v>7340.29925</v>
      </c>
      <c r="O27" s="95">
        <f>(H27+L27+M27+N27)</f>
        <v>32294.916699999998</v>
      </c>
      <c r="P27" s="99">
        <f>O27*G27+1</f>
        <v>16148.458349999999</v>
      </c>
      <c r="Q27" s="78"/>
      <c r="R27" s="87"/>
      <c r="S27" s="72"/>
      <c r="U27" s="72"/>
    </row>
    <row r="28" spans="1:21" ht="30.6" customHeight="1">
      <c r="A28" s="73"/>
      <c r="B28" s="74"/>
      <c r="C28" s="74" t="s">
        <v>87</v>
      </c>
      <c r="D28" s="75" t="s">
        <v>88</v>
      </c>
      <c r="E28" s="73">
        <v>1</v>
      </c>
      <c r="F28" s="73">
        <v>1</v>
      </c>
      <c r="G28" s="73">
        <v>1</v>
      </c>
      <c r="H28" s="77">
        <f>6049+(6049*5.5%)+0.3</f>
        <v>6381.9949999999999</v>
      </c>
      <c r="I28" s="77"/>
      <c r="J28" s="76"/>
      <c r="K28" s="77">
        <v>130</v>
      </c>
      <c r="L28" s="77">
        <f>(H28+J28)*K28%+0.01</f>
        <v>8296.6035000000011</v>
      </c>
      <c r="M28" s="77">
        <f>(H28+J28+L28)*70%+1</f>
        <v>10276.01895</v>
      </c>
      <c r="N28" s="77">
        <f>(H28+J28+L28)*50%+1</f>
        <v>7340.29925</v>
      </c>
      <c r="O28" s="95">
        <f>(H28+J28+L28+M28+N28)</f>
        <v>32294.916699999998</v>
      </c>
      <c r="P28" s="99">
        <f t="shared" ref="P28" si="0">O28*G28</f>
        <v>32294.916699999998</v>
      </c>
      <c r="Q28" s="78"/>
      <c r="S28" s="72"/>
      <c r="U28" s="82"/>
    </row>
    <row r="29" spans="1:21">
      <c r="A29" s="5"/>
      <c r="B29" s="5"/>
      <c r="C29" s="5"/>
      <c r="D29" s="48" t="s">
        <v>16</v>
      </c>
      <c r="E29" s="50" t="s">
        <v>55</v>
      </c>
      <c r="F29" s="50" t="s">
        <v>55</v>
      </c>
      <c r="G29" s="50">
        <f>G26+G27+G28</f>
        <v>2.5</v>
      </c>
      <c r="H29" s="90">
        <f>H26+H27+H28+0.01</f>
        <v>19199.999999999996</v>
      </c>
      <c r="I29" s="50" t="s">
        <v>55</v>
      </c>
      <c r="J29" s="49">
        <f>J26+J27+J28</f>
        <v>0</v>
      </c>
      <c r="K29" s="50" t="s">
        <v>55</v>
      </c>
      <c r="L29" s="90">
        <f>L26+L27+L28+1</f>
        <v>24961.007000000001</v>
      </c>
      <c r="M29" s="90">
        <f>M26+M27+M28</f>
        <v>30914.997900000002</v>
      </c>
      <c r="N29" s="90">
        <f>N26+N27+N28-1</f>
        <v>22081.998500000002</v>
      </c>
      <c r="O29" s="90">
        <f>O26+O27+O28</f>
        <v>97157.993400000007</v>
      </c>
      <c r="P29" s="100">
        <f>P26+P27+P28-1</f>
        <v>81010.535050000006</v>
      </c>
      <c r="Q29" s="83"/>
      <c r="U29" s="72"/>
    </row>
    <row r="31" spans="1:21">
      <c r="A31" s="4" t="s">
        <v>45</v>
      </c>
      <c r="B31" s="4"/>
      <c r="C31" s="4"/>
      <c r="D31" s="4"/>
      <c r="E31" s="4"/>
      <c r="F31" s="4"/>
      <c r="G31" s="4"/>
      <c r="H31" s="38" t="s">
        <v>53</v>
      </c>
      <c r="I31" s="38"/>
      <c r="J31" s="4"/>
      <c r="K31" s="38"/>
      <c r="L31" s="38"/>
      <c r="M31" s="4"/>
      <c r="N31" s="38" t="s">
        <v>75</v>
      </c>
      <c r="O31" s="38"/>
      <c r="P31" s="72"/>
      <c r="Q31" s="72"/>
    </row>
    <row r="32" spans="1:21">
      <c r="A32" s="4"/>
      <c r="B32" s="4"/>
      <c r="C32" s="4"/>
      <c r="D32" s="4"/>
      <c r="E32" s="4"/>
      <c r="F32" s="4"/>
      <c r="G32" s="4"/>
      <c r="H32" s="4"/>
      <c r="I32" s="4"/>
      <c r="J32" s="4"/>
      <c r="K32" s="4" t="s">
        <v>13</v>
      </c>
      <c r="L32" s="4"/>
      <c r="M32" s="4"/>
      <c r="N32" s="4" t="s">
        <v>14</v>
      </c>
      <c r="O32" s="4"/>
    </row>
    <row r="33" spans="1: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>
      <c r="A34" s="4"/>
      <c r="B34" s="4"/>
      <c r="C34" s="4"/>
      <c r="D34" s="4"/>
      <c r="E34" s="4"/>
      <c r="F34" s="4"/>
      <c r="G34" s="4"/>
      <c r="H34" s="38" t="s">
        <v>76</v>
      </c>
      <c r="I34" s="38"/>
      <c r="J34" s="4"/>
      <c r="K34" s="38"/>
      <c r="L34" s="38"/>
      <c r="M34" s="4"/>
      <c r="N34" s="38" t="s">
        <v>77</v>
      </c>
      <c r="O34" s="38"/>
    </row>
    <row r="35" spans="1: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13</v>
      </c>
      <c r="L35" s="4"/>
      <c r="M35" s="4"/>
      <c r="N35" s="4" t="s">
        <v>14</v>
      </c>
      <c r="O35" s="4"/>
    </row>
  </sheetData>
  <mergeCells count="22">
    <mergeCell ref="A15:G15"/>
    <mergeCell ref="I15:J15"/>
    <mergeCell ref="O1:Q1"/>
    <mergeCell ref="A11:M11"/>
    <mergeCell ref="A13:M13"/>
    <mergeCell ref="I14:J14"/>
    <mergeCell ref="M2:Q3"/>
    <mergeCell ref="A16:O16"/>
    <mergeCell ref="A22:C23"/>
    <mergeCell ref="D22:D24"/>
    <mergeCell ref="E22:E24"/>
    <mergeCell ref="F22:F24"/>
    <mergeCell ref="G22:G24"/>
    <mergeCell ref="H22:H24"/>
    <mergeCell ref="I22:N22"/>
    <mergeCell ref="O22:O24"/>
    <mergeCell ref="Q22:Q24"/>
    <mergeCell ref="I23:J23"/>
    <mergeCell ref="K23:L23"/>
    <mergeCell ref="M23:M24"/>
    <mergeCell ref="N23:N24"/>
    <mergeCell ref="P22:P24"/>
  </mergeCells>
  <pageMargins left="0.11811023622047245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глава</vt:lpstr>
      <vt:lpstr>муниципалы</vt:lpstr>
      <vt:lpstr>техи адм.</vt:lpstr>
      <vt:lpstr>рабочие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2024-01-09T11:24:16Z</dcterms:modified>
</cp:coreProperties>
</file>